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CULT\sc\PROMOCION_IMPULSA\FUNDACION IMPULSA\CONTRATACIÓN\PICOS\2024\12-ICLM-2024 AT PBCO M CIENCIAS\documentación a publicar\"/>
    </mc:Choice>
  </mc:AlternateContent>
  <xr:revisionPtr revIDLastSave="0" documentId="13_ncr:1_{E8939586-D578-49CC-8067-CE5D8963848A}" xr6:coauthVersionLast="36" xr6:coauthVersionMax="36" xr10:uidLastSave="{00000000-0000-0000-0000-000000000000}"/>
  <bookViews>
    <workbookView xWindow="0" yWindow="0" windowWidth="28800" windowHeight="12000" tabRatio="877" firstSheet="2" activeTab="2" xr2:uid="{00000000-000D-0000-FFFF-FFFF00000000}"/>
  </bookViews>
  <sheets>
    <sheet name="SERVISECURITAS 2019 PREVIO" sheetId="11" state="hidden" r:id="rId1"/>
    <sheet name="Hoja1" sheetId="17" state="hidden" r:id="rId2"/>
    <sheet name="2024" sheetId="28" r:id="rId3"/>
    <sheet name="SERVI 2019 CALCULOS VJP" sheetId="12" state="hidden" r:id="rId4"/>
  </sheets>
  <definedNames>
    <definedName name="_xlnm._FilterDatabase" localSheetId="3" hidden="1">'SERVI 2019 CALCULOS VJP'!$A$2:$M$20</definedName>
    <definedName name="_xlnm._FilterDatabase" localSheetId="0" hidden="1">'SERVISECURITAS 2019 PREVIO'!$A$3:$P$53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8" l="1"/>
  <c r="I3" i="28"/>
  <c r="M3" i="28" s="1"/>
  <c r="G3" i="28"/>
  <c r="H3" i="28"/>
  <c r="I10" i="17" l="1"/>
  <c r="J10" i="17"/>
  <c r="K10" i="17"/>
  <c r="L10" i="17"/>
  <c r="M10" i="17"/>
  <c r="H10" i="17"/>
  <c r="R4" i="17" s="1"/>
  <c r="C9" i="17"/>
  <c r="D9" i="17"/>
  <c r="E9" i="17"/>
  <c r="F9" i="17"/>
  <c r="G9" i="17"/>
  <c r="H9" i="17"/>
  <c r="I9" i="17"/>
  <c r="J9" i="17"/>
  <c r="K9" i="17"/>
  <c r="L9" i="17"/>
  <c r="M9" i="17"/>
  <c r="B9" i="17"/>
  <c r="C8" i="17"/>
  <c r="D8" i="17"/>
  <c r="E8" i="17"/>
  <c r="F8" i="17"/>
  <c r="G8" i="17"/>
  <c r="B8" i="17"/>
  <c r="C7" i="17"/>
  <c r="C12" i="17" s="1"/>
  <c r="D7" i="17"/>
  <c r="D12" i="17" s="1"/>
  <c r="E7" i="17"/>
  <c r="E12" i="17" s="1"/>
  <c r="F7" i="17"/>
  <c r="F12" i="17" s="1"/>
  <c r="G7" i="17"/>
  <c r="G12" i="17" s="1"/>
  <c r="H7" i="17"/>
  <c r="H12" i="17" s="1"/>
  <c r="I7" i="17"/>
  <c r="I12" i="17" s="1"/>
  <c r="J7" i="17"/>
  <c r="J12" i="17" s="1"/>
  <c r="K7" i="17"/>
  <c r="K12" i="17" s="1"/>
  <c r="L7" i="17"/>
  <c r="L12" i="17" s="1"/>
  <c r="M7" i="17"/>
  <c r="M12" i="17" s="1"/>
  <c r="B7" i="17"/>
  <c r="B12" i="17" s="1"/>
  <c r="N12" i="17" l="1"/>
  <c r="P4" i="17"/>
  <c r="P14" i="17" s="1"/>
  <c r="Q4" i="17"/>
  <c r="Q14" i="17" s="1"/>
  <c r="AC9" i="12" l="1"/>
  <c r="X22" i="12"/>
  <c r="V22" i="12"/>
  <c r="AB3" i="12"/>
  <c r="AC3" i="12"/>
  <c r="AD3" i="12" s="1"/>
  <c r="AE3" i="12" s="1"/>
  <c r="AD4" i="12" s="1"/>
  <c r="AB4" i="12"/>
  <c r="AC4" i="12"/>
  <c r="AB5" i="12"/>
  <c r="AC5" i="12"/>
  <c r="AC19" i="12"/>
  <c r="AB19" i="12"/>
  <c r="AC18" i="12"/>
  <c r="AB18" i="12"/>
  <c r="AC17" i="12"/>
  <c r="AB17" i="12"/>
  <c r="AC16" i="12"/>
  <c r="AB16" i="12"/>
  <c r="AC15" i="12"/>
  <c r="AB15" i="12"/>
  <c r="AC14" i="12"/>
  <c r="AB14" i="12"/>
  <c r="AC13" i="12"/>
  <c r="AB13" i="12"/>
  <c r="AC12" i="12"/>
  <c r="AB12" i="12"/>
  <c r="AC11" i="12"/>
  <c r="AB11" i="12"/>
  <c r="AC10" i="12"/>
  <c r="AB10" i="12"/>
  <c r="AB9" i="12"/>
  <c r="AC8" i="12"/>
  <c r="AB8" i="12"/>
  <c r="AC7" i="12"/>
  <c r="AB7" i="12"/>
  <c r="AC6" i="12"/>
  <c r="AB6" i="12"/>
  <c r="AC20" i="12"/>
  <c r="AB20" i="12"/>
  <c r="Y20" i="12"/>
  <c r="Y19" i="12"/>
  <c r="W19" i="12"/>
  <c r="U19" i="12"/>
  <c r="T19" i="12"/>
  <c r="Y18" i="12"/>
  <c r="W18" i="12"/>
  <c r="U18" i="12"/>
  <c r="T18" i="12"/>
  <c r="Y17" i="12"/>
  <c r="W17" i="12"/>
  <c r="U17" i="12"/>
  <c r="T17" i="12"/>
  <c r="Y16" i="12"/>
  <c r="W16" i="12"/>
  <c r="U16" i="12"/>
  <c r="T16" i="12"/>
  <c r="U15" i="12"/>
  <c r="U14" i="12"/>
  <c r="Y13" i="12"/>
  <c r="W13" i="12"/>
  <c r="U13" i="12"/>
  <c r="T13" i="12"/>
  <c r="Y12" i="12"/>
  <c r="W12" i="12"/>
  <c r="U12" i="12"/>
  <c r="T12" i="12"/>
  <c r="Y11" i="12"/>
  <c r="W11" i="12"/>
  <c r="U11" i="12"/>
  <c r="T11" i="12"/>
  <c r="Y10" i="12"/>
  <c r="W10" i="12"/>
  <c r="U10" i="12"/>
  <c r="T10" i="12"/>
  <c r="AA9" i="12"/>
  <c r="Y9" i="12"/>
  <c r="W9" i="12"/>
  <c r="U9" i="12"/>
  <c r="T9" i="12"/>
  <c r="Y8" i="12"/>
  <c r="W8" i="12"/>
  <c r="U8" i="12"/>
  <c r="T8" i="12"/>
  <c r="Y7" i="12"/>
  <c r="W7" i="12"/>
  <c r="U7" i="12"/>
  <c r="T7" i="12"/>
  <c r="Y6" i="12"/>
  <c r="W6" i="12"/>
  <c r="U6" i="12"/>
  <c r="T6" i="12"/>
  <c r="Y5" i="12"/>
  <c r="W5" i="12"/>
  <c r="T5" i="12"/>
  <c r="W4" i="12"/>
  <c r="U4" i="12"/>
  <c r="T4" i="12"/>
  <c r="W3" i="12"/>
  <c r="U3" i="12"/>
  <c r="T3" i="12"/>
  <c r="M20" i="12"/>
  <c r="L20" i="12"/>
  <c r="I20" i="12"/>
  <c r="Q19" i="12"/>
  <c r="P19" i="12"/>
  <c r="M19" i="12"/>
  <c r="O19" i="12" s="1"/>
  <c r="L19" i="12"/>
  <c r="I19" i="12"/>
  <c r="G19" i="12"/>
  <c r="E19" i="12"/>
  <c r="C19" i="12"/>
  <c r="Q18" i="12"/>
  <c r="P18" i="12"/>
  <c r="M18" i="12"/>
  <c r="O18" i="12" s="1"/>
  <c r="L18" i="12"/>
  <c r="I18" i="12"/>
  <c r="G18" i="12"/>
  <c r="E18" i="12"/>
  <c r="C18" i="12"/>
  <c r="Q17" i="12"/>
  <c r="P17" i="12"/>
  <c r="M17" i="12"/>
  <c r="O17" i="12" s="1"/>
  <c r="L17" i="12"/>
  <c r="I17" i="12"/>
  <c r="G17" i="12"/>
  <c r="E17" i="12"/>
  <c r="C17" i="12"/>
  <c r="Q16" i="12"/>
  <c r="P16" i="12"/>
  <c r="M16" i="12"/>
  <c r="O16" i="12" s="1"/>
  <c r="L16" i="12"/>
  <c r="I16" i="12"/>
  <c r="G16" i="12"/>
  <c r="E16" i="12"/>
  <c r="C16" i="12"/>
  <c r="M15" i="12"/>
  <c r="O15" i="12" s="1"/>
  <c r="L15" i="12"/>
  <c r="E15" i="12"/>
  <c r="M14" i="12"/>
  <c r="O14" i="12" s="1"/>
  <c r="L14" i="12"/>
  <c r="E14" i="12"/>
  <c r="Q13" i="12"/>
  <c r="P13" i="12"/>
  <c r="M13" i="12"/>
  <c r="O13" i="12" s="1"/>
  <c r="L13" i="12"/>
  <c r="I13" i="12"/>
  <c r="G13" i="12"/>
  <c r="E13" i="12"/>
  <c r="C13" i="12"/>
  <c r="Q12" i="12"/>
  <c r="P12" i="12"/>
  <c r="M12" i="12"/>
  <c r="O12" i="12" s="1"/>
  <c r="L12" i="12"/>
  <c r="I12" i="12"/>
  <c r="G12" i="12"/>
  <c r="E12" i="12"/>
  <c r="C12" i="12"/>
  <c r="Q11" i="12"/>
  <c r="P11" i="12"/>
  <c r="M11" i="12"/>
  <c r="O11" i="12" s="1"/>
  <c r="L11" i="12"/>
  <c r="I11" i="12"/>
  <c r="G11" i="12"/>
  <c r="E11" i="12"/>
  <c r="C11" i="12"/>
  <c r="Q10" i="12"/>
  <c r="P10" i="12"/>
  <c r="M10" i="12"/>
  <c r="O10" i="12" s="1"/>
  <c r="L10" i="12"/>
  <c r="I10" i="12"/>
  <c r="G10" i="12"/>
  <c r="E10" i="12"/>
  <c r="C10" i="12"/>
  <c r="Q9" i="12"/>
  <c r="P9" i="12"/>
  <c r="M9" i="12"/>
  <c r="O9" i="12" s="1"/>
  <c r="L9" i="12"/>
  <c r="K9" i="12"/>
  <c r="I9" i="12"/>
  <c r="G9" i="12"/>
  <c r="E9" i="12"/>
  <c r="C9" i="12"/>
  <c r="Q8" i="12"/>
  <c r="P8" i="12"/>
  <c r="M8" i="12"/>
  <c r="O8" i="12" s="1"/>
  <c r="L8" i="12"/>
  <c r="I8" i="12"/>
  <c r="G8" i="12"/>
  <c r="E8" i="12"/>
  <c r="C8" i="12"/>
  <c r="Q7" i="12"/>
  <c r="P7" i="12"/>
  <c r="M7" i="12"/>
  <c r="O7" i="12" s="1"/>
  <c r="L7" i="12"/>
  <c r="I7" i="12"/>
  <c r="G7" i="12"/>
  <c r="E7" i="12"/>
  <c r="C7" i="12"/>
  <c r="Q6" i="12"/>
  <c r="P6" i="12"/>
  <c r="M6" i="12"/>
  <c r="O6" i="12" s="1"/>
  <c r="L6" i="12"/>
  <c r="I6" i="12"/>
  <c r="G6" i="12"/>
  <c r="E6" i="12"/>
  <c r="C6" i="12"/>
  <c r="M5" i="12"/>
  <c r="L5" i="12"/>
  <c r="I5" i="12"/>
  <c r="G5" i="12"/>
  <c r="C5" i="12"/>
  <c r="Q4" i="12"/>
  <c r="P4" i="12"/>
  <c r="M4" i="12"/>
  <c r="O4" i="12" s="1"/>
  <c r="L4" i="12"/>
  <c r="G4" i="12"/>
  <c r="E4" i="12"/>
  <c r="C4" i="12"/>
  <c r="Q3" i="12"/>
  <c r="P3" i="12"/>
  <c r="M3" i="12"/>
  <c r="O3" i="12" s="1"/>
  <c r="L3" i="12"/>
  <c r="G3" i="12"/>
  <c r="E3" i="12"/>
  <c r="C3" i="12"/>
  <c r="AD9" i="12" l="1"/>
  <c r="AE9" i="12" s="1"/>
  <c r="AE10" i="12" s="1"/>
  <c r="AE11" i="12" s="1"/>
  <c r="AD18" i="12"/>
  <c r="AD19" i="12" s="1"/>
  <c r="AD21" i="12" s="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5" i="11"/>
  <c r="P24" i="11"/>
  <c r="P22" i="11"/>
  <c r="P21" i="11"/>
  <c r="P19" i="11"/>
  <c r="P18" i="11"/>
  <c r="P17" i="11"/>
  <c r="P16" i="11"/>
  <c r="P15" i="11"/>
  <c r="P14" i="11"/>
  <c r="P12" i="11"/>
  <c r="P11" i="11"/>
  <c r="P10" i="11"/>
  <c r="P9" i="11"/>
  <c r="P8" i="11"/>
  <c r="P7" i="11"/>
  <c r="P6" i="11"/>
  <c r="P5" i="11"/>
  <c r="O42" i="11" l="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5" i="11"/>
  <c r="O24" i="11"/>
  <c r="O22" i="11"/>
  <c r="O21" i="11"/>
  <c r="O17" i="11"/>
  <c r="O16" i="11"/>
  <c r="O15" i="11"/>
  <c r="O14" i="11"/>
  <c r="O12" i="11"/>
  <c r="O11" i="11"/>
  <c r="O10" i="11"/>
  <c r="O9" i="11"/>
  <c r="O8" i="11"/>
  <c r="O7" i="11"/>
  <c r="O6" i="11"/>
  <c r="O5" i="11"/>
  <c r="T42" i="11"/>
  <c r="S42" i="11"/>
  <c r="T41" i="11"/>
  <c r="S41" i="11"/>
  <c r="T40" i="11"/>
  <c r="S40" i="11"/>
  <c r="T39" i="11"/>
  <c r="S39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5" i="11"/>
  <c r="R24" i="11"/>
  <c r="R22" i="11"/>
  <c r="R21" i="11"/>
  <c r="R17" i="11"/>
  <c r="R16" i="11"/>
  <c r="R15" i="11"/>
  <c r="R14" i="11"/>
  <c r="R6" i="11"/>
  <c r="R7" i="11"/>
  <c r="R8" i="11"/>
  <c r="R9" i="11"/>
  <c r="R10" i="11"/>
  <c r="R11" i="11"/>
  <c r="R12" i="11"/>
  <c r="R5" i="11"/>
  <c r="L40" i="11"/>
  <c r="L41" i="11"/>
  <c r="L34" i="11"/>
  <c r="L35" i="11"/>
  <c r="J34" i="11"/>
  <c r="J35" i="11"/>
  <c r="H34" i="11"/>
  <c r="H35" i="11"/>
  <c r="F34" i="11"/>
  <c r="F35" i="11"/>
  <c r="H42" i="11"/>
  <c r="H41" i="11"/>
  <c r="H40" i="11"/>
  <c r="H39" i="11"/>
  <c r="H38" i="11"/>
  <c r="H37" i="11"/>
  <c r="H36" i="11"/>
  <c r="H33" i="11"/>
  <c r="H32" i="11"/>
  <c r="H31" i="11"/>
  <c r="H30" i="11"/>
  <c r="H29" i="11"/>
  <c r="H28" i="11"/>
  <c r="H25" i="11"/>
  <c r="H24" i="11"/>
  <c r="H22" i="11"/>
  <c r="H21" i="11"/>
  <c r="H17" i="11"/>
  <c r="H16" i="11"/>
  <c r="H15" i="11"/>
  <c r="H14" i="11"/>
  <c r="H12" i="11"/>
  <c r="H11" i="11"/>
  <c r="H10" i="11"/>
  <c r="H9" i="11"/>
  <c r="H8" i="11"/>
  <c r="H7" i="11"/>
  <c r="H6" i="11"/>
  <c r="H5" i="11"/>
  <c r="P43" i="11"/>
  <c r="O43" i="11"/>
  <c r="L43" i="11"/>
  <c r="L42" i="11"/>
  <c r="J42" i="11"/>
  <c r="F42" i="11"/>
  <c r="J41" i="11"/>
  <c r="F41" i="11"/>
  <c r="J40" i="11"/>
  <c r="F40" i="11"/>
  <c r="L39" i="11"/>
  <c r="J39" i="11"/>
  <c r="F39" i="11"/>
  <c r="L38" i="11"/>
  <c r="J38" i="11"/>
  <c r="F38" i="11"/>
  <c r="L33" i="11"/>
  <c r="J33" i="11"/>
  <c r="F33" i="11"/>
  <c r="L32" i="11"/>
  <c r="J32" i="11"/>
  <c r="F32" i="11"/>
  <c r="N31" i="11"/>
  <c r="L31" i="11"/>
  <c r="J31" i="11"/>
  <c r="F31" i="11"/>
  <c r="L30" i="11"/>
  <c r="J30" i="11"/>
  <c r="F30" i="11"/>
  <c r="L29" i="11"/>
  <c r="J29" i="11"/>
  <c r="F29" i="11"/>
  <c r="L28" i="11"/>
  <c r="J28" i="11"/>
  <c r="F28" i="11"/>
  <c r="P27" i="11"/>
  <c r="O27" i="11"/>
  <c r="L27" i="11"/>
  <c r="J27" i="11"/>
  <c r="F27" i="11"/>
  <c r="J25" i="11"/>
  <c r="F25" i="11"/>
  <c r="J24" i="11"/>
  <c r="F24" i="11"/>
  <c r="J22" i="11"/>
  <c r="F22" i="11"/>
  <c r="J21" i="11"/>
  <c r="F21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2" i="11"/>
  <c r="F12" i="11"/>
  <c r="J11" i="11"/>
  <c r="F11" i="11"/>
  <c r="J10" i="11"/>
  <c r="F10" i="11"/>
  <c r="J9" i="11"/>
  <c r="F9" i="11"/>
  <c r="J8" i="11"/>
  <c r="F8" i="11"/>
  <c r="J7" i="11"/>
  <c r="F7" i="11"/>
  <c r="J6" i="11"/>
  <c r="F6" i="11"/>
  <c r="J5" i="11"/>
  <c r="F5" i="11"/>
  <c r="R19" i="11" l="1"/>
  <c r="R18" i="11"/>
  <c r="S19" i="11" l="1"/>
  <c r="T19" i="11"/>
  <c r="H19" i="11"/>
  <c r="O19" i="11"/>
  <c r="S18" i="11"/>
  <c r="H18" i="11"/>
  <c r="O18" i="11"/>
  <c r="T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M37" authorId="0" shapeId="0" xr:uid="{7CC5AE9B-5CD6-48AF-9CEC-71CE07F19989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Maribí del Álamo Nuñez</author>
  </authors>
  <commentList>
    <comment ref="J15" authorId="0" shapeId="0" xr:uid="{726D013E-7D66-46E7-9563-435609F68067}">
      <text>
        <r>
          <rPr>
            <b/>
            <sz val="9"/>
            <color indexed="81"/>
            <rFont val="Tahoma"/>
            <family val="2"/>
          </rPr>
          <t>PLUS CONVENIO</t>
        </r>
      </text>
    </comment>
    <comment ref="Z15" authorId="0" shapeId="0" xr:uid="{59102175-17D9-4371-9CF1-95730C658FF0}">
      <text>
        <r>
          <rPr>
            <b/>
            <sz val="9"/>
            <color indexed="81"/>
            <rFont val="Tahoma"/>
            <family val="2"/>
          </rPr>
          <t>PLUS CONVENIO</t>
        </r>
      </text>
    </comment>
  </commentList>
</comments>
</file>

<file path=xl/sharedStrings.xml><?xml version="1.0" encoding="utf-8"?>
<sst xmlns="http://schemas.openxmlformats.org/spreadsheetml/2006/main" count="219" uniqueCount="140">
  <si>
    <t>COD.</t>
  </si>
  <si>
    <t>CATEGORIA</t>
  </si>
  <si>
    <t>S. BASE</t>
  </si>
  <si>
    <t>P. TRANS</t>
  </si>
  <si>
    <t>P. VEST</t>
  </si>
  <si>
    <t>P.ACTIV</t>
  </si>
  <si>
    <t>TOTAL</t>
  </si>
  <si>
    <t>Personal Directivo y Técnico</t>
  </si>
  <si>
    <t>DIRECTOR GENERAL</t>
  </si>
  <si>
    <t>DIRECTOR ADMINISTRATIVO</t>
  </si>
  <si>
    <t>DIRECTOR DE PERSONAL</t>
  </si>
  <si>
    <t>JEFE DE DEPARTAMENTO</t>
  </si>
  <si>
    <t xml:space="preserve">TITULADO SUPERIOR </t>
  </si>
  <si>
    <t>TITULADO MEDIO</t>
  </si>
  <si>
    <t>Personal Administrativo</t>
  </si>
  <si>
    <t>JEFE 1 ADMINISTRATIVO</t>
  </si>
  <si>
    <t>JEFE 2 ADMINISTRATIVO</t>
  </si>
  <si>
    <t>OFICIAL 1 ADMINISTRATIVO</t>
  </si>
  <si>
    <t>OFICIAL 2 ADMINISTRATIVO</t>
  </si>
  <si>
    <t>AUXILIAR ADMINISTRATIVO</t>
  </si>
  <si>
    <t>Mandos Intermedios</t>
  </si>
  <si>
    <t>ENCARGADO GENERAL/ENCARG.</t>
  </si>
  <si>
    <t>SUPERVISOR</t>
  </si>
  <si>
    <t>Personal Operativo</t>
  </si>
  <si>
    <t>AZAFATA/O</t>
  </si>
  <si>
    <t>OPERADOR/A</t>
  </si>
  <si>
    <t>BOMBERO</t>
  </si>
  <si>
    <t>DIRECTOR COMERCIAL</t>
  </si>
  <si>
    <t>GERENTE Y/O DELEGADO PROV.</t>
  </si>
  <si>
    <t>JEFE DE VENTAS</t>
  </si>
  <si>
    <t>VENDEDOR</t>
  </si>
  <si>
    <t>TELEFONISTA/O</t>
  </si>
  <si>
    <t>TOTAL MENSUAL</t>
  </si>
  <si>
    <t>TOTAL ANUAL</t>
  </si>
  <si>
    <t>AUXILIAR DE SERVICIOS (COSTE SEG. SOCIAL BAJO)</t>
  </si>
  <si>
    <t>AUXILIAR DE SERVICIOS (COSTE SEG. SOCIAL ALTO)</t>
  </si>
  <si>
    <t>G.T.</t>
  </si>
  <si>
    <t>OCUPACION</t>
  </si>
  <si>
    <t>a</t>
  </si>
  <si>
    <t>cnae</t>
  </si>
  <si>
    <t>h</t>
  </si>
  <si>
    <t>CONDUCTOR</t>
  </si>
  <si>
    <t>ENCARGADO DE ALMACEN</t>
  </si>
  <si>
    <t>Cuando el trabajador tenga que</t>
  </si>
  <si>
    <t>Hacer una comida fuera de su localidad</t>
  </si>
  <si>
    <t>8.50 €</t>
  </si>
  <si>
    <t>Hacer dos comidas fuera de su localidad</t>
  </si>
  <si>
    <t>14.00 €</t>
  </si>
  <si>
    <t>Pernoctar fuera de su localidad y realizar desayuno</t>
  </si>
  <si>
    <t>20.00 €</t>
  </si>
  <si>
    <t>Pernoctar fuera de su localidad y realizar dos comidas.</t>
  </si>
  <si>
    <t>27.00 €</t>
  </si>
  <si>
    <t>25.00 €</t>
  </si>
  <si>
    <t>MONITOR</t>
  </si>
  <si>
    <t>LIMPIADORA CONV. COLECT. LAS PALMAS</t>
  </si>
  <si>
    <t>g</t>
  </si>
  <si>
    <t>AUXILIAR DE SERVICIOS - VALENCIA ESPECIAL</t>
  </si>
  <si>
    <t>GESTOR TELEFONICO - MALAGA CONTACT CENTER</t>
  </si>
  <si>
    <t>COORDINADOR  C.C. - MALAGA CONTACT CENTER</t>
  </si>
  <si>
    <t>Personal Ventas</t>
  </si>
  <si>
    <t>TELEOPERADORA - MALAGA CONTACT CENTER</t>
  </si>
  <si>
    <t xml:space="preserve">OPERADOR/A - CANTABRIA HOSPITAL TORRELAVEGA </t>
  </si>
  <si>
    <t>Importe hora Plus Nocturnidad</t>
  </si>
  <si>
    <t>Importe hora Plus Festivo</t>
  </si>
  <si>
    <t>importe Kilómetro</t>
  </si>
  <si>
    <t>Ayuda descendiente discapacitado</t>
  </si>
  <si>
    <t>Plus idiomas mensual</t>
  </si>
  <si>
    <t>Plus Navidad</t>
  </si>
  <si>
    <t>Importe Pluses</t>
  </si>
  <si>
    <t>Pernoctar fuera de su localidad y realizar dos comidas (+ 7 días de desplazam)</t>
  </si>
  <si>
    <t>Ayuda cónyuge discapacitado</t>
  </si>
  <si>
    <t>AUXILIAR DE PARKING</t>
  </si>
  <si>
    <t>RECEPCIONISTA</t>
  </si>
  <si>
    <t>MOZO/PEON</t>
  </si>
  <si>
    <t>A CUENTA CONVENIO</t>
  </si>
  <si>
    <t>SMI 2019</t>
  </si>
  <si>
    <t>DIFERENCIA TOTAL ANUAL - SMI</t>
  </si>
  <si>
    <t>COMPROBACION</t>
  </si>
  <si>
    <t>JORNADA ANUAL PARA 2019  :   1.820 H. EFECTIVAS DE TRABAJO</t>
  </si>
  <si>
    <t>DEL 01/01/2019  -  AL 16/01/2019</t>
  </si>
  <si>
    <t>A PARTIR DE AHORA</t>
  </si>
  <si>
    <t>P. TTE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</si>
  <si>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</si>
  <si>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</si>
  <si>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</si>
  <si>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</si>
  <si>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</si>
  <si>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</si>
  <si>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</si>
  <si>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</si>
  <si>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</si>
  <si>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</si>
  <si>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</si>
  <si>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</si>
  <si>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ALTA DEL 01/01/2019</t>
  </si>
  <si>
    <t>ABONADO EN DEMASIA</t>
  </si>
  <si>
    <t>P.E. DICIEM/19</t>
  </si>
  <si>
    <t>P.E. JULIO/19</t>
  </si>
  <si>
    <t>P.E. JULIO/20</t>
  </si>
  <si>
    <t>TOTALES</t>
  </si>
  <si>
    <t>RECUPERACIÓN ABONO DEMASIA</t>
  </si>
  <si>
    <t>DEVENGO EXTRA JULIO/19</t>
  </si>
  <si>
    <t>DEVENGO EXTRA DICIEMBRE/19</t>
  </si>
  <si>
    <t>DEVENGO EXTRA JULIO/20</t>
  </si>
  <si>
    <t>TIPO CATEGORIA</t>
  </si>
  <si>
    <t>OPERATIVA</t>
  </si>
  <si>
    <t>JORNADA ANUAL</t>
  </si>
  <si>
    <t>NOCTURNIDAD</t>
  </si>
  <si>
    <t>VACACIONES</t>
  </si>
  <si>
    <t>PLUS FESTIVO</t>
  </si>
  <si>
    <t>ANTIGÜEDAD</t>
  </si>
  <si>
    <t>MISMO IMPORTE QUE EL CONVENIO DE SERVICIOS - PACTO FIRMADO</t>
  </si>
  <si>
    <t>COMPLEMENTOS IT Y ACCIDENTE NO LAB.</t>
  </si>
  <si>
    <t>COMPLEMENTOS ACCIDENTE LABORAL</t>
  </si>
  <si>
    <t>HOSPITALIZACION</t>
  </si>
  <si>
    <t xml:space="preserve">  QUINQUENIOS DE UN 5% DEL SALARIO BASE</t>
  </si>
  <si>
    <t xml:space="preserve">  1720 HORAS ANUALES EFECTIVAS DE TRABAJO</t>
  </si>
  <si>
    <t xml:space="preserve">  31 DIAS NATURALES</t>
  </si>
  <si>
    <t xml:space="preserve">  DEL DÍA 1 AL 3         -  EL 50% DE LA BASE DE COTIZACIÓN - UNA SOLA VEZ AL AÑO</t>
  </si>
  <si>
    <t xml:space="preserve">  DEL DÍA 4 AL 20       -  EL 80 % DE LA BASE DE COTIZACIÓN</t>
  </si>
  <si>
    <t xml:space="preserve">  DEL DÍA 21 AL 40     -  EL 100 % DE LA BASE DE COTIZACIÓN</t>
  </si>
  <si>
    <t xml:space="preserve">  DEL DÍA 41 AL 60     -  EL 90% DE LA BASE DE COTIZACION</t>
  </si>
  <si>
    <t xml:space="preserve">  SE COMPLEMENTA HASTA AL 100% DEL SALARIO BRUTO DESDE EL PRIMER DÍA</t>
  </si>
  <si>
    <t xml:space="preserve">  SE COMPLEMENTA HASTA EL 100% DEL SALARIO BRUTO</t>
  </si>
  <si>
    <t>ACUERDO ESPECIAL -  SERVICIO MUSEO DE LAS CIENCIAS DE CUENCA   2024</t>
  </si>
  <si>
    <t xml:space="preserve">  0,21  -  IGUAL QUE EL CONVENIO DE SERVICIOS (PACTO)</t>
  </si>
  <si>
    <t xml:space="preserve">  0,73  -  IGUAL QUE EL CONVENIO DE SERVICIOS (PACTO)</t>
  </si>
  <si>
    <t xml:space="preserve">CATEGORÍA LABORAL: </t>
  </si>
  <si>
    <t>AUXILIAR DE SERVICIOS</t>
  </si>
  <si>
    <t>CONVENIO DE APLICACIÓN:</t>
  </si>
  <si>
    <t>CATEGORÍA FUNCIONAL:</t>
  </si>
  <si>
    <t>ESTATAL DE SERVICIOS</t>
  </si>
  <si>
    <t>JORNADA ANUAL:</t>
  </si>
  <si>
    <t>JORNADA MENSUAL:</t>
  </si>
  <si>
    <t>ACUERDO PARA EL PERSONAL QUE FUE SUBROGADO EN EL MOMENTO DE COGER EL SERVICIO.</t>
  </si>
  <si>
    <t>LAS NUEVAS INCORPORACIONES EN EL SERVICIO DEL MUSEO DE LAS CIENCIAS DE CUENCA SERÁN DADOS DE ALTA CON:</t>
  </si>
  <si>
    <t>1720 HORAS EFECTIVAS DE TRABAJO  (pacto con cliente)</t>
  </si>
  <si>
    <t>156,36 HORAS EFECTIVAS DE TRABAJO (pacto con cliente)</t>
  </si>
  <si>
    <t>OJO, HAY QUE GRABARLO EN VALORES PERIODO A NIVEL TRABAJADOR</t>
  </si>
  <si>
    <t>PAGA EXTRA BENEFICIOS (marzo año siguiente)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</si>
</sst>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00000"/>
    <numFmt numFmtId="166" formatCode="#,##0.000000"/>
    <numFmt numFmtId="167" formatCode="0.00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u/>
      <sz val="8"/>
      <name val="Calibri"/>
      <family val="2"/>
      <scheme val="minor"/>
    </font>
    <font>
      <b/>
      <sz val="11"/>
      <name val="Calibri"/>
      <family val="2"/>
      <scheme val="minor"/>
    </font>
    <font>
      <sz val="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1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4" fontId="6" fillId="0" borderId="4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4" fontId="4" fillId="0" borderId="1" xfId="1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4" fontId="3" fillId="0" borderId="2" xfId="1" applyNumberFormat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" fontId="3" fillId="0" borderId="4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4" fontId="3" fillId="0" borderId="2" xfId="1" applyNumberFormat="1" applyFont="1" applyFill="1" applyBorder="1" applyAlignment="1">
      <alignment vertical="center"/>
    </xf>
    <xf numFmtId="4" fontId="10" fillId="5" borderId="3" xfId="1" applyNumberFormat="1" applyFont="1" applyFill="1" applyBorder="1" applyAlignment="1">
      <alignment horizontal="left" vertical="center"/>
    </xf>
    <xf numFmtId="4" fontId="10" fillId="5" borderId="1" xfId="1" applyNumberFormat="1" applyFont="1" applyFill="1" applyBorder="1" applyAlignment="1">
      <alignment horizontal="left" vertical="center"/>
    </xf>
    <xf numFmtId="0" fontId="10" fillId="4" borderId="17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6" fontId="3" fillId="3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10" fillId="4" borderId="4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7" borderId="1" xfId="0" applyNumberFormat="1" applyFont="1" applyFill="1" applyBorder="1" applyAlignment="1">
      <alignment vertical="center"/>
    </xf>
    <xf numFmtId="4" fontId="3" fillId="8" borderId="1" xfId="0" applyNumberFormat="1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" fontId="18" fillId="4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67" fontId="8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left" vertical="center"/>
    </xf>
    <xf numFmtId="167" fontId="15" fillId="0" borderId="0" xfId="0" applyNumberFormat="1" applyFont="1" applyAlignment="1">
      <alignment horizontal="left" vertical="center"/>
    </xf>
    <xf numFmtId="4" fontId="7" fillId="0" borderId="0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166" fontId="3" fillId="3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165" fontId="24" fillId="10" borderId="1" xfId="0" applyNumberFormat="1" applyFont="1" applyFill="1" applyBorder="1" applyAlignment="1">
      <alignment horizontal="left" vertical="center" wrapText="1"/>
    </xf>
    <xf numFmtId="165" fontId="21" fillId="10" borderId="1" xfId="0" applyNumberFormat="1" applyFont="1" applyFill="1" applyBorder="1" applyAlignment="1">
      <alignment horizontal="center" vertical="center" wrapText="1"/>
    </xf>
    <xf numFmtId="4" fontId="22" fillId="10" borderId="1" xfId="1" applyNumberFormat="1" applyFont="1" applyFill="1" applyBorder="1" applyAlignment="1">
      <alignment horizontal="center" vertical="center" wrapText="1"/>
    </xf>
    <xf numFmtId="4" fontId="21" fillId="10" borderId="1" xfId="1" applyNumberFormat="1" applyFont="1" applyFill="1" applyBorder="1" applyAlignment="1">
      <alignment horizontal="center" vertical="center" wrapText="1"/>
    </xf>
    <xf numFmtId="1" fontId="21" fillId="10" borderId="1" xfId="1" applyNumberFormat="1" applyFont="1" applyFill="1" applyBorder="1" applyAlignment="1">
      <alignment horizontal="center" vertical="center" wrapText="1"/>
    </xf>
    <xf numFmtId="0" fontId="21" fillId="1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/>
    </xf>
    <xf numFmtId="167" fontId="20" fillId="0" borderId="0" xfId="0" applyNumberFormat="1" applyFont="1" applyAlignment="1">
      <alignment horizontal="left" vertical="center"/>
    </xf>
    <xf numFmtId="165" fontId="25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167" fontId="26" fillId="0" borderId="0" xfId="0" applyNumberFormat="1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right" vertical="center"/>
    </xf>
    <xf numFmtId="0" fontId="4" fillId="11" borderId="2" xfId="0" applyFont="1" applyFill="1" applyBorder="1" applyAlignment="1">
      <alignment horizontal="right" vertical="center"/>
    </xf>
    <xf numFmtId="0" fontId="2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4">
    <cellStyle name="Normal" xfId="0" builtinId="0"/>
    <cellStyle name="Normal 2" xfId="3" xr:uid="{4511038A-C4A0-40B4-83D0-371427B31FA8}"/>
    <cellStyle name="Normal_CONVENIOS 2000-2003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18E0-F044-49A6-AA73-77D63A6D9D26}">
  <sheetPr>
    <pageSetUpPr fitToPage="1"/>
  </sheetPr>
  <dimension ref="A1:T58"/>
  <sheetViews>
    <sheetView zoomScale="110" zoomScaleNormal="110" workbookViewId="0">
      <pane ySplit="3" topLeftCell="A4" activePane="bottomLeft" state="frozen"/>
      <selection pane="bottomLeft" activeCell="W23" sqref="W23"/>
    </sheetView>
  </sheetViews>
  <sheetFormatPr baseColWidth="10" defaultColWidth="10.140625" defaultRowHeight="12.75" x14ac:dyDescent="0.2"/>
  <cols>
    <col min="1" max="1" width="6.42578125" style="51" bestFit="1" customWidth="1"/>
    <col min="2" max="2" width="6.42578125" style="51" customWidth="1"/>
    <col min="3" max="3" width="9.7109375" style="51" bestFit="1" customWidth="1"/>
    <col min="4" max="4" width="42.28515625" style="1" bestFit="1" customWidth="1"/>
    <col min="5" max="5" width="8" style="1" customWidth="1"/>
    <col min="6" max="6" width="10.7109375" style="1" hidden="1" customWidth="1"/>
    <col min="7" max="7" width="8.5703125" style="57" customWidth="1"/>
    <col min="8" max="8" width="9.7109375" style="1" hidden="1" customWidth="1"/>
    <col min="9" max="9" width="7.140625" style="1" customWidth="1"/>
    <col min="10" max="10" width="9.85546875" style="1" hidden="1" customWidth="1"/>
    <col min="11" max="11" width="6.42578125" style="1" customWidth="1"/>
    <col min="12" max="12" width="10.7109375" style="1" hidden="1" customWidth="1"/>
    <col min="13" max="13" width="7.28515625" style="1" customWidth="1"/>
    <col min="14" max="14" width="10.7109375" style="1" hidden="1" customWidth="1"/>
    <col min="15" max="15" width="7.7109375" style="1" customWidth="1"/>
    <col min="16" max="16" width="8.5703125" style="1" customWidth="1"/>
    <col min="17" max="17" width="7.5703125" style="1" hidden="1" customWidth="1"/>
    <col min="18" max="18" width="11.5703125" style="1" hidden="1" customWidth="1"/>
    <col min="19" max="19" width="8.85546875" style="1" hidden="1" customWidth="1"/>
    <col min="20" max="20" width="6.85546875" style="1" hidden="1" customWidth="1"/>
    <col min="21" max="21" width="10.5703125" style="1" customWidth="1"/>
    <col min="22" max="22" width="7.85546875" style="1" bestFit="1" customWidth="1"/>
    <col min="23" max="23" width="8" style="1" bestFit="1" customWidth="1"/>
    <col min="24" max="24" width="9" style="1" customWidth="1"/>
    <col min="25" max="25" width="8.140625" style="1" customWidth="1"/>
    <col min="26" max="26" width="9" style="1" customWidth="1"/>
    <col min="27" max="16384" width="10.140625" style="1"/>
  </cols>
  <sheetData>
    <row r="1" spans="1:20" ht="33" customHeight="1" x14ac:dyDescent="0.2">
      <c r="A1" s="50" t="s">
        <v>78</v>
      </c>
    </row>
    <row r="3" spans="1:20" s="52" customFormat="1" ht="39.75" customHeight="1" x14ac:dyDescent="0.2">
      <c r="A3" s="46" t="s">
        <v>36</v>
      </c>
      <c r="B3" s="46" t="s">
        <v>37</v>
      </c>
      <c r="C3" s="46" t="s">
        <v>0</v>
      </c>
      <c r="D3" s="47" t="s">
        <v>1</v>
      </c>
      <c r="E3" s="48" t="s">
        <v>2</v>
      </c>
      <c r="F3" s="2">
        <v>110021</v>
      </c>
      <c r="G3" s="48" t="s">
        <v>74</v>
      </c>
      <c r="H3" s="2">
        <v>122520</v>
      </c>
      <c r="I3" s="48" t="s">
        <v>3</v>
      </c>
      <c r="J3" s="3">
        <v>15220</v>
      </c>
      <c r="K3" s="48" t="s">
        <v>4</v>
      </c>
      <c r="L3" s="3">
        <v>116220</v>
      </c>
      <c r="M3" s="48" t="s">
        <v>5</v>
      </c>
      <c r="N3" s="2">
        <v>117520</v>
      </c>
      <c r="O3" s="47" t="s">
        <v>32</v>
      </c>
      <c r="P3" s="48" t="s">
        <v>33</v>
      </c>
      <c r="Q3" s="68" t="s">
        <v>75</v>
      </c>
      <c r="R3" s="69" t="s">
        <v>76</v>
      </c>
      <c r="S3" s="128" t="s">
        <v>77</v>
      </c>
      <c r="T3" s="128"/>
    </row>
    <row r="4" spans="1:20" ht="18" customHeight="1" x14ac:dyDescent="0.2">
      <c r="A4" s="4"/>
      <c r="B4" s="4"/>
      <c r="C4" s="4"/>
      <c r="D4" s="40" t="s">
        <v>7</v>
      </c>
      <c r="E4" s="5"/>
      <c r="F4" s="6"/>
      <c r="G4" s="5"/>
      <c r="H4" s="6"/>
      <c r="I4" s="5"/>
      <c r="J4" s="6"/>
      <c r="K4" s="5"/>
      <c r="L4" s="6"/>
      <c r="M4" s="5"/>
      <c r="N4" s="5"/>
      <c r="O4" s="5"/>
      <c r="P4" s="5"/>
    </row>
    <row r="5" spans="1:20" ht="17.100000000000001" customHeight="1" x14ac:dyDescent="0.2">
      <c r="A5" s="7">
        <v>1</v>
      </c>
      <c r="B5" s="7" t="s">
        <v>38</v>
      </c>
      <c r="C5" s="27">
        <v>2102</v>
      </c>
      <c r="D5" s="17" t="s">
        <v>8</v>
      </c>
      <c r="E5" s="30">
        <v>1559.8</v>
      </c>
      <c r="F5" s="58">
        <f t="shared" ref="F5:F19" si="0">E5/30</f>
        <v>51.993333333333332</v>
      </c>
      <c r="G5" s="30"/>
      <c r="H5" s="58">
        <f>+G5/30</f>
        <v>0</v>
      </c>
      <c r="I5" s="30">
        <v>69.38</v>
      </c>
      <c r="J5" s="60">
        <f t="shared" ref="J5:J25" si="1">I5/30</f>
        <v>2.3126666666666664</v>
      </c>
      <c r="K5" s="31"/>
      <c r="L5" s="32"/>
      <c r="M5" s="31"/>
      <c r="N5" s="31"/>
      <c r="O5" s="33">
        <f>+M5+K5+I5+E5+G5</f>
        <v>1629.1799999999998</v>
      </c>
      <c r="P5" s="31">
        <f>((E5+M5+G5)*14)+((I5+K5)*12)</f>
        <v>22669.760000000002</v>
      </c>
      <c r="Q5" s="70">
        <v>12600</v>
      </c>
      <c r="R5" s="71">
        <f>+P5-Q5</f>
        <v>10069.760000000002</v>
      </c>
      <c r="S5" s="70"/>
      <c r="T5" s="70"/>
    </row>
    <row r="6" spans="1:20" ht="17.100000000000001" customHeight="1" x14ac:dyDescent="0.2">
      <c r="A6" s="7">
        <v>1</v>
      </c>
      <c r="B6" s="7" t="s">
        <v>38</v>
      </c>
      <c r="C6" s="27">
        <v>2105</v>
      </c>
      <c r="D6" s="17" t="s">
        <v>9</v>
      </c>
      <c r="E6" s="30">
        <v>1483.11</v>
      </c>
      <c r="F6" s="58">
        <f t="shared" si="0"/>
        <v>49.436999999999998</v>
      </c>
      <c r="G6" s="30"/>
      <c r="H6" s="58">
        <f t="shared" ref="H6:H12" si="2">+G6/30</f>
        <v>0</v>
      </c>
      <c r="I6" s="30">
        <v>69.38</v>
      </c>
      <c r="J6" s="60">
        <f t="shared" si="1"/>
        <v>2.3126666666666664</v>
      </c>
      <c r="K6" s="31"/>
      <c r="L6" s="32"/>
      <c r="M6" s="31"/>
      <c r="N6" s="31"/>
      <c r="O6" s="33">
        <f t="shared" ref="O6:O12" si="3">+M6+K6+I6+E6+G6</f>
        <v>1552.4899999999998</v>
      </c>
      <c r="P6" s="31">
        <f t="shared" ref="P6:P12" si="4">((E6+M6+G6)*14)+((I6+K6)*12)</f>
        <v>21596.1</v>
      </c>
      <c r="Q6" s="70">
        <v>12600</v>
      </c>
      <c r="R6" s="71">
        <f t="shared" ref="R6:R25" si="5">+P6-Q6</f>
        <v>8996.0999999999985</v>
      </c>
      <c r="S6" s="70"/>
      <c r="T6" s="70"/>
    </row>
    <row r="7" spans="1:20" ht="17.100000000000001" customHeight="1" x14ac:dyDescent="0.2">
      <c r="A7" s="7">
        <v>1</v>
      </c>
      <c r="B7" s="7" t="s">
        <v>38</v>
      </c>
      <c r="C7" s="27">
        <v>2109</v>
      </c>
      <c r="D7" s="17" t="s">
        <v>10</v>
      </c>
      <c r="E7" s="30">
        <v>1483.11</v>
      </c>
      <c r="F7" s="58">
        <f t="shared" si="0"/>
        <v>49.436999999999998</v>
      </c>
      <c r="G7" s="30"/>
      <c r="H7" s="58">
        <f t="shared" si="2"/>
        <v>0</v>
      </c>
      <c r="I7" s="30">
        <v>69.38</v>
      </c>
      <c r="J7" s="60">
        <f t="shared" si="1"/>
        <v>2.3126666666666664</v>
      </c>
      <c r="K7" s="31"/>
      <c r="L7" s="32"/>
      <c r="M7" s="31"/>
      <c r="N7" s="31"/>
      <c r="O7" s="33">
        <f t="shared" si="3"/>
        <v>1552.4899999999998</v>
      </c>
      <c r="P7" s="31">
        <f t="shared" si="4"/>
        <v>21596.1</v>
      </c>
      <c r="Q7" s="70">
        <v>12600</v>
      </c>
      <c r="R7" s="71">
        <f t="shared" si="5"/>
        <v>8996.0999999999985</v>
      </c>
      <c r="S7" s="70"/>
      <c r="T7" s="70"/>
    </row>
    <row r="8" spans="1:20" ht="17.100000000000001" customHeight="1" x14ac:dyDescent="0.2">
      <c r="A8" s="7">
        <v>1</v>
      </c>
      <c r="B8" s="7" t="s">
        <v>38</v>
      </c>
      <c r="C8" s="27">
        <v>2103</v>
      </c>
      <c r="D8" s="17" t="s">
        <v>27</v>
      </c>
      <c r="E8" s="30">
        <v>1483.11</v>
      </c>
      <c r="F8" s="58">
        <f t="shared" si="0"/>
        <v>49.436999999999998</v>
      </c>
      <c r="G8" s="30"/>
      <c r="H8" s="58">
        <f t="shared" si="2"/>
        <v>0</v>
      </c>
      <c r="I8" s="30">
        <v>69.38</v>
      </c>
      <c r="J8" s="60">
        <f t="shared" si="1"/>
        <v>2.3126666666666664</v>
      </c>
      <c r="K8" s="31"/>
      <c r="L8" s="32"/>
      <c r="M8" s="31"/>
      <c r="N8" s="31"/>
      <c r="O8" s="33">
        <f t="shared" si="3"/>
        <v>1552.4899999999998</v>
      </c>
      <c r="P8" s="31">
        <f t="shared" si="4"/>
        <v>21596.1</v>
      </c>
      <c r="Q8" s="70">
        <v>12600</v>
      </c>
      <c r="R8" s="71">
        <f t="shared" si="5"/>
        <v>8996.0999999999985</v>
      </c>
      <c r="S8" s="70"/>
      <c r="T8" s="70"/>
    </row>
    <row r="9" spans="1:20" ht="17.100000000000001" customHeight="1" x14ac:dyDescent="0.2">
      <c r="A9" s="7">
        <v>3</v>
      </c>
      <c r="B9" s="7" t="s">
        <v>38</v>
      </c>
      <c r="C9" s="27">
        <v>2122</v>
      </c>
      <c r="D9" s="17" t="s">
        <v>11</v>
      </c>
      <c r="E9" s="30">
        <v>1410.41</v>
      </c>
      <c r="F9" s="58">
        <f t="shared" si="0"/>
        <v>47.013666666666673</v>
      </c>
      <c r="G9" s="30"/>
      <c r="H9" s="58">
        <f t="shared" si="2"/>
        <v>0</v>
      </c>
      <c r="I9" s="30">
        <v>69.38</v>
      </c>
      <c r="J9" s="60">
        <f t="shared" si="1"/>
        <v>2.3126666666666664</v>
      </c>
      <c r="K9" s="31"/>
      <c r="L9" s="32"/>
      <c r="M9" s="31"/>
      <c r="N9" s="31"/>
      <c r="O9" s="33">
        <f t="shared" si="3"/>
        <v>1479.79</v>
      </c>
      <c r="P9" s="31">
        <f t="shared" si="4"/>
        <v>20578.300000000003</v>
      </c>
      <c r="Q9" s="70">
        <v>12600</v>
      </c>
      <c r="R9" s="71">
        <f t="shared" si="5"/>
        <v>7978.3000000000029</v>
      </c>
      <c r="S9" s="70"/>
      <c r="T9" s="70"/>
    </row>
    <row r="10" spans="1:20" ht="17.100000000000001" customHeight="1" x14ac:dyDescent="0.2">
      <c r="A10" s="7">
        <v>1</v>
      </c>
      <c r="B10" s="7" t="s">
        <v>38</v>
      </c>
      <c r="C10" s="27">
        <v>2126</v>
      </c>
      <c r="D10" s="17" t="s">
        <v>28</v>
      </c>
      <c r="E10" s="30">
        <v>1410.41</v>
      </c>
      <c r="F10" s="58">
        <f t="shared" si="0"/>
        <v>47.013666666666673</v>
      </c>
      <c r="G10" s="30"/>
      <c r="H10" s="58">
        <f t="shared" si="2"/>
        <v>0</v>
      </c>
      <c r="I10" s="30">
        <v>69.38</v>
      </c>
      <c r="J10" s="60">
        <f t="shared" si="1"/>
        <v>2.3126666666666664</v>
      </c>
      <c r="K10" s="31"/>
      <c r="L10" s="32"/>
      <c r="M10" s="31"/>
      <c r="N10" s="31"/>
      <c r="O10" s="33">
        <f t="shared" si="3"/>
        <v>1479.79</v>
      </c>
      <c r="P10" s="31">
        <f t="shared" si="4"/>
        <v>20578.300000000003</v>
      </c>
      <c r="Q10" s="70">
        <v>12600</v>
      </c>
      <c r="R10" s="71">
        <f t="shared" si="5"/>
        <v>7978.3000000000029</v>
      </c>
      <c r="S10" s="70"/>
      <c r="T10" s="70"/>
    </row>
    <row r="11" spans="1:20" ht="17.100000000000001" customHeight="1" x14ac:dyDescent="0.2">
      <c r="A11" s="7">
        <v>1</v>
      </c>
      <c r="B11" s="7" t="s">
        <v>38</v>
      </c>
      <c r="C11" s="27">
        <v>2113</v>
      </c>
      <c r="D11" s="17" t="s">
        <v>12</v>
      </c>
      <c r="E11" s="30">
        <v>1410.41</v>
      </c>
      <c r="F11" s="58">
        <f t="shared" si="0"/>
        <v>47.013666666666673</v>
      </c>
      <c r="G11" s="30"/>
      <c r="H11" s="58">
        <f t="shared" si="2"/>
        <v>0</v>
      </c>
      <c r="I11" s="30">
        <v>69.38</v>
      </c>
      <c r="J11" s="60">
        <f t="shared" si="1"/>
        <v>2.3126666666666664</v>
      </c>
      <c r="K11" s="31"/>
      <c r="L11" s="32"/>
      <c r="M11" s="31"/>
      <c r="N11" s="31"/>
      <c r="O11" s="33">
        <f t="shared" si="3"/>
        <v>1479.79</v>
      </c>
      <c r="P11" s="31">
        <f t="shared" si="4"/>
        <v>20578.300000000003</v>
      </c>
      <c r="Q11" s="70">
        <v>12600</v>
      </c>
      <c r="R11" s="71">
        <f t="shared" si="5"/>
        <v>7978.3000000000029</v>
      </c>
      <c r="S11" s="70"/>
      <c r="T11" s="70"/>
    </row>
    <row r="12" spans="1:20" ht="17.100000000000001" customHeight="1" x14ac:dyDescent="0.2">
      <c r="A12" s="7">
        <v>2</v>
      </c>
      <c r="B12" s="7" t="s">
        <v>38</v>
      </c>
      <c r="C12" s="27">
        <v>2114</v>
      </c>
      <c r="D12" s="17" t="s">
        <v>13</v>
      </c>
      <c r="E12" s="30">
        <v>1341.37</v>
      </c>
      <c r="F12" s="58">
        <f t="shared" si="0"/>
        <v>44.712333333333326</v>
      </c>
      <c r="G12" s="30"/>
      <c r="H12" s="58">
        <f t="shared" si="2"/>
        <v>0</v>
      </c>
      <c r="I12" s="30">
        <v>69.38</v>
      </c>
      <c r="J12" s="60">
        <f t="shared" si="1"/>
        <v>2.3126666666666664</v>
      </c>
      <c r="K12" s="31"/>
      <c r="L12" s="32"/>
      <c r="M12" s="31"/>
      <c r="N12" s="31"/>
      <c r="O12" s="33">
        <f t="shared" si="3"/>
        <v>1410.75</v>
      </c>
      <c r="P12" s="31">
        <f t="shared" si="4"/>
        <v>19611.740000000002</v>
      </c>
      <c r="Q12" s="70">
        <v>12600</v>
      </c>
      <c r="R12" s="71">
        <f t="shared" si="5"/>
        <v>7011.7400000000016</v>
      </c>
      <c r="S12" s="70"/>
      <c r="T12" s="70"/>
    </row>
    <row r="13" spans="1:20" ht="18" customHeight="1" x14ac:dyDescent="0.2">
      <c r="A13" s="8"/>
      <c r="B13" s="8"/>
      <c r="C13" s="28"/>
      <c r="D13" s="41" t="s">
        <v>14</v>
      </c>
      <c r="E13" s="34"/>
      <c r="F13" s="35"/>
      <c r="G13" s="63"/>
      <c r="H13" s="35"/>
      <c r="I13" s="34"/>
      <c r="J13" s="61"/>
      <c r="K13" s="36"/>
      <c r="L13" s="37"/>
      <c r="M13" s="36"/>
      <c r="N13" s="36"/>
      <c r="O13" s="36"/>
      <c r="P13" s="34"/>
    </row>
    <row r="14" spans="1:20" ht="17.100000000000001" customHeight="1" x14ac:dyDescent="0.2">
      <c r="A14" s="7">
        <v>3</v>
      </c>
      <c r="B14" s="7" t="s">
        <v>38</v>
      </c>
      <c r="C14" s="27">
        <v>2201</v>
      </c>
      <c r="D14" s="17" t="s">
        <v>15</v>
      </c>
      <c r="E14" s="30">
        <v>1348.36</v>
      </c>
      <c r="F14" s="58">
        <f t="shared" si="0"/>
        <v>44.94533333333333</v>
      </c>
      <c r="G14" s="30"/>
      <c r="H14" s="58">
        <f t="shared" ref="H14:H19" si="6">+G14/30</f>
        <v>0</v>
      </c>
      <c r="I14" s="30">
        <v>69.38</v>
      </c>
      <c r="J14" s="60">
        <f t="shared" si="1"/>
        <v>2.3126666666666664</v>
      </c>
      <c r="K14" s="31"/>
      <c r="L14" s="32"/>
      <c r="M14" s="31"/>
      <c r="N14" s="31"/>
      <c r="O14" s="33">
        <f t="shared" ref="O14:O19" si="7">+M14+K14+I14+E14+G14</f>
        <v>1417.7399999999998</v>
      </c>
      <c r="P14" s="31">
        <f t="shared" ref="P14:P19" si="8">((E14+M14+G14)*14)+((I14+K14)*12)</f>
        <v>19709.599999999999</v>
      </c>
      <c r="Q14" s="70">
        <v>12600</v>
      </c>
      <c r="R14" s="71">
        <f t="shared" si="5"/>
        <v>7109.5999999999985</v>
      </c>
      <c r="S14" s="70"/>
      <c r="T14" s="70"/>
    </row>
    <row r="15" spans="1:20" ht="17.100000000000001" customHeight="1" x14ac:dyDescent="0.2">
      <c r="A15" s="7">
        <v>3</v>
      </c>
      <c r="B15" s="7" t="s">
        <v>38</v>
      </c>
      <c r="C15" s="27">
        <v>2202</v>
      </c>
      <c r="D15" s="17" t="s">
        <v>16</v>
      </c>
      <c r="E15" s="30">
        <v>1208.0899999999999</v>
      </c>
      <c r="F15" s="58">
        <f t="shared" si="0"/>
        <v>40.269666666666666</v>
      </c>
      <c r="G15" s="30"/>
      <c r="H15" s="58">
        <f t="shared" si="6"/>
        <v>0</v>
      </c>
      <c r="I15" s="30">
        <v>69.38</v>
      </c>
      <c r="J15" s="60">
        <f t="shared" si="1"/>
        <v>2.3126666666666664</v>
      </c>
      <c r="K15" s="31"/>
      <c r="L15" s="32"/>
      <c r="M15" s="31"/>
      <c r="N15" s="31"/>
      <c r="O15" s="33">
        <f t="shared" si="7"/>
        <v>1277.4699999999998</v>
      </c>
      <c r="P15" s="31">
        <f t="shared" si="8"/>
        <v>17745.82</v>
      </c>
      <c r="Q15" s="70">
        <v>12600</v>
      </c>
      <c r="R15" s="71">
        <f t="shared" si="5"/>
        <v>5145.82</v>
      </c>
      <c r="S15" s="70"/>
      <c r="T15" s="70"/>
    </row>
    <row r="16" spans="1:20" ht="17.100000000000001" customHeight="1" x14ac:dyDescent="0.2">
      <c r="A16" s="7">
        <v>5</v>
      </c>
      <c r="B16" s="7" t="s">
        <v>38</v>
      </c>
      <c r="C16" s="27">
        <v>2203</v>
      </c>
      <c r="D16" s="17" t="s">
        <v>17</v>
      </c>
      <c r="E16" s="30">
        <v>995.93</v>
      </c>
      <c r="F16" s="58">
        <f t="shared" si="0"/>
        <v>33.197666666666663</v>
      </c>
      <c r="G16" s="30"/>
      <c r="H16" s="58">
        <f t="shared" si="6"/>
        <v>0</v>
      </c>
      <c r="I16" s="30">
        <v>69.38</v>
      </c>
      <c r="J16" s="60">
        <f t="shared" si="1"/>
        <v>2.3126666666666664</v>
      </c>
      <c r="K16" s="31"/>
      <c r="L16" s="32"/>
      <c r="M16" s="31"/>
      <c r="N16" s="31"/>
      <c r="O16" s="33">
        <f t="shared" si="7"/>
        <v>1065.31</v>
      </c>
      <c r="P16" s="31">
        <f t="shared" si="8"/>
        <v>14775.579999999998</v>
      </c>
      <c r="Q16" s="70">
        <v>12600</v>
      </c>
      <c r="R16" s="71">
        <f t="shared" si="5"/>
        <v>2175.5799999999981</v>
      </c>
      <c r="S16" s="70"/>
      <c r="T16" s="70"/>
    </row>
    <row r="17" spans="1:20" ht="17.100000000000001" customHeight="1" x14ac:dyDescent="0.2">
      <c r="A17" s="7">
        <v>5</v>
      </c>
      <c r="B17" s="7" t="s">
        <v>38</v>
      </c>
      <c r="C17" s="27">
        <v>2204</v>
      </c>
      <c r="D17" s="17" t="s">
        <v>18</v>
      </c>
      <c r="E17" s="30">
        <v>915.62</v>
      </c>
      <c r="F17" s="58">
        <f t="shared" si="0"/>
        <v>30.520666666666667</v>
      </c>
      <c r="G17" s="30"/>
      <c r="H17" s="58">
        <f t="shared" si="6"/>
        <v>0</v>
      </c>
      <c r="I17" s="30">
        <v>69.38</v>
      </c>
      <c r="J17" s="60">
        <f t="shared" si="1"/>
        <v>2.3126666666666664</v>
      </c>
      <c r="K17" s="31"/>
      <c r="L17" s="32"/>
      <c r="M17" s="31"/>
      <c r="N17" s="31"/>
      <c r="O17" s="33">
        <f t="shared" si="7"/>
        <v>985</v>
      </c>
      <c r="P17" s="31">
        <f t="shared" si="8"/>
        <v>13651.24</v>
      </c>
      <c r="Q17" s="70">
        <v>12600</v>
      </c>
      <c r="R17" s="71">
        <f t="shared" si="5"/>
        <v>1051.2399999999998</v>
      </c>
      <c r="S17" s="70"/>
      <c r="T17" s="70"/>
    </row>
    <row r="18" spans="1:20" ht="17.100000000000001" customHeight="1" x14ac:dyDescent="0.2">
      <c r="A18" s="9">
        <v>7</v>
      </c>
      <c r="B18" s="9" t="s">
        <v>38</v>
      </c>
      <c r="C18" s="29">
        <v>2206</v>
      </c>
      <c r="D18" s="10" t="s">
        <v>19</v>
      </c>
      <c r="E18" s="30">
        <v>750</v>
      </c>
      <c r="F18" s="58">
        <f t="shared" si="0"/>
        <v>25</v>
      </c>
      <c r="G18" s="73">
        <v>118.74000000000004</v>
      </c>
      <c r="H18" s="58">
        <f t="shared" si="6"/>
        <v>3.9580000000000011</v>
      </c>
      <c r="I18" s="30">
        <v>36.47</v>
      </c>
      <c r="J18" s="60">
        <f t="shared" si="1"/>
        <v>1.2156666666666667</v>
      </c>
      <c r="K18" s="31"/>
      <c r="L18" s="32"/>
      <c r="M18" s="31"/>
      <c r="N18" s="31"/>
      <c r="O18" s="33">
        <f t="shared" si="7"/>
        <v>905.21</v>
      </c>
      <c r="P18" s="31">
        <f t="shared" si="8"/>
        <v>12600</v>
      </c>
      <c r="Q18" s="70">
        <v>12600</v>
      </c>
      <c r="R18" s="71">
        <f t="shared" si="5"/>
        <v>0</v>
      </c>
      <c r="S18" s="71">
        <f>+E18+G18+I18+K18+M18</f>
        <v>905.21</v>
      </c>
      <c r="T18" s="70">
        <f>((E18+G18+M18)*14+(I18+K18)*12)</f>
        <v>12600</v>
      </c>
    </row>
    <row r="19" spans="1:20" ht="17.100000000000001" customHeight="1" x14ac:dyDescent="0.2">
      <c r="A19" s="9">
        <v>7</v>
      </c>
      <c r="B19" s="9" t="s">
        <v>39</v>
      </c>
      <c r="C19" s="29"/>
      <c r="D19" s="10" t="s">
        <v>31</v>
      </c>
      <c r="E19" s="30">
        <v>750</v>
      </c>
      <c r="F19" s="58">
        <f t="shared" si="0"/>
        <v>25</v>
      </c>
      <c r="G19" s="73">
        <v>118.74000000000004</v>
      </c>
      <c r="H19" s="58">
        <f t="shared" si="6"/>
        <v>3.9580000000000011</v>
      </c>
      <c r="I19" s="30">
        <v>36.47</v>
      </c>
      <c r="J19" s="60">
        <f t="shared" si="1"/>
        <v>1.2156666666666667</v>
      </c>
      <c r="K19" s="31"/>
      <c r="L19" s="32"/>
      <c r="M19" s="31"/>
      <c r="N19" s="31"/>
      <c r="O19" s="33">
        <f t="shared" si="7"/>
        <v>905.21</v>
      </c>
      <c r="P19" s="31">
        <f t="shared" si="8"/>
        <v>12600</v>
      </c>
      <c r="Q19" s="70">
        <v>12600</v>
      </c>
      <c r="R19" s="71">
        <f t="shared" si="5"/>
        <v>0</v>
      </c>
      <c r="S19" s="71">
        <f>+E19+G19+I19+K19+M19</f>
        <v>905.21</v>
      </c>
      <c r="T19" s="70">
        <f>((E19+G19+M19)*14+(I19+K19)*12)</f>
        <v>12600</v>
      </c>
    </row>
    <row r="20" spans="1:20" ht="18" customHeight="1" x14ac:dyDescent="0.2">
      <c r="A20" s="8"/>
      <c r="B20" s="8"/>
      <c r="C20" s="28"/>
      <c r="D20" s="41" t="s">
        <v>20</v>
      </c>
      <c r="E20" s="34"/>
      <c r="F20" s="35"/>
      <c r="G20" s="63"/>
      <c r="H20" s="35"/>
      <c r="I20" s="34"/>
      <c r="J20" s="61"/>
      <c r="K20" s="34"/>
      <c r="L20" s="35"/>
      <c r="M20" s="34"/>
      <c r="N20" s="34"/>
      <c r="O20" s="36"/>
      <c r="P20" s="34"/>
    </row>
    <row r="21" spans="1:20" ht="17.100000000000001" customHeight="1" x14ac:dyDescent="0.2">
      <c r="A21" s="7">
        <v>3</v>
      </c>
      <c r="B21" s="7" t="s">
        <v>39</v>
      </c>
      <c r="C21" s="27">
        <v>2504</v>
      </c>
      <c r="D21" s="17" t="s">
        <v>21</v>
      </c>
      <c r="E21" s="31">
        <v>1341.37</v>
      </c>
      <c r="F21" s="58">
        <f t="shared" ref="F21:F25" si="9">E21/30</f>
        <v>44.712333333333326</v>
      </c>
      <c r="G21" s="30"/>
      <c r="H21" s="58">
        <f t="shared" ref="H21:H22" si="10">+G21/30</f>
        <v>0</v>
      </c>
      <c r="I21" s="31">
        <v>69.38</v>
      </c>
      <c r="J21" s="60">
        <f t="shared" si="1"/>
        <v>2.3126666666666664</v>
      </c>
      <c r="K21" s="31"/>
      <c r="L21" s="32"/>
      <c r="M21" s="31"/>
      <c r="N21" s="31"/>
      <c r="O21" s="33">
        <f t="shared" ref="O21:O22" si="11">+M21+K21+I21+E21+G21</f>
        <v>1410.75</v>
      </c>
      <c r="P21" s="31">
        <f t="shared" ref="P21:P22" si="12">((E21+M21+G21)*14)+((I21+K21)*12)</f>
        <v>19611.740000000002</v>
      </c>
      <c r="Q21" s="70">
        <v>12600</v>
      </c>
      <c r="R21" s="71">
        <f t="shared" si="5"/>
        <v>7011.7400000000016</v>
      </c>
      <c r="S21" s="70"/>
      <c r="T21" s="70"/>
    </row>
    <row r="22" spans="1:20" ht="17.100000000000001" customHeight="1" x14ac:dyDescent="0.2">
      <c r="A22" s="7">
        <v>5</v>
      </c>
      <c r="B22" s="7" t="s">
        <v>39</v>
      </c>
      <c r="C22" s="27">
        <v>2227</v>
      </c>
      <c r="D22" s="17" t="s">
        <v>22</v>
      </c>
      <c r="E22" s="31">
        <v>995.93</v>
      </c>
      <c r="F22" s="58">
        <f t="shared" si="9"/>
        <v>33.197666666666663</v>
      </c>
      <c r="G22" s="30"/>
      <c r="H22" s="58">
        <f t="shared" si="10"/>
        <v>0</v>
      </c>
      <c r="I22" s="31">
        <v>69.38</v>
      </c>
      <c r="J22" s="60">
        <f t="shared" si="1"/>
        <v>2.3126666666666664</v>
      </c>
      <c r="K22" s="31"/>
      <c r="L22" s="32"/>
      <c r="M22" s="31"/>
      <c r="N22" s="31"/>
      <c r="O22" s="33">
        <f t="shared" si="11"/>
        <v>1065.31</v>
      </c>
      <c r="P22" s="31">
        <f t="shared" si="12"/>
        <v>14775.579999999998</v>
      </c>
      <c r="Q22" s="70">
        <v>12600</v>
      </c>
      <c r="R22" s="71">
        <f t="shared" si="5"/>
        <v>2175.5799999999981</v>
      </c>
      <c r="S22" s="70"/>
      <c r="T22" s="70"/>
    </row>
    <row r="23" spans="1:20" ht="18" customHeight="1" x14ac:dyDescent="0.2">
      <c r="A23" s="8"/>
      <c r="B23" s="8"/>
      <c r="C23" s="28"/>
      <c r="D23" s="41" t="s">
        <v>59</v>
      </c>
      <c r="E23" s="34"/>
      <c r="F23" s="35"/>
      <c r="G23" s="63"/>
      <c r="H23" s="35"/>
      <c r="I23" s="34"/>
      <c r="J23" s="61"/>
      <c r="K23" s="34"/>
      <c r="L23" s="35"/>
      <c r="M23" s="34"/>
      <c r="N23" s="34"/>
      <c r="O23" s="36"/>
      <c r="P23" s="34"/>
    </row>
    <row r="24" spans="1:20" ht="17.100000000000001" customHeight="1" x14ac:dyDescent="0.2">
      <c r="A24" s="7">
        <v>3</v>
      </c>
      <c r="B24" s="7" t="s">
        <v>39</v>
      </c>
      <c r="C24" s="27">
        <v>2120</v>
      </c>
      <c r="D24" s="17" t="s">
        <v>29</v>
      </c>
      <c r="E24" s="30">
        <v>1348.36</v>
      </c>
      <c r="F24" s="58">
        <f t="shared" si="9"/>
        <v>44.94533333333333</v>
      </c>
      <c r="G24" s="30"/>
      <c r="H24" s="58">
        <f t="shared" ref="H24:H25" si="13">+G24/30</f>
        <v>0</v>
      </c>
      <c r="I24" s="30">
        <v>69.38</v>
      </c>
      <c r="J24" s="60">
        <f t="shared" si="1"/>
        <v>2.3126666666666664</v>
      </c>
      <c r="K24" s="31"/>
      <c r="L24" s="32"/>
      <c r="M24" s="31"/>
      <c r="N24" s="31"/>
      <c r="O24" s="33">
        <f t="shared" ref="O24:O25" si="14">+M24+K24+I24+E24+G24</f>
        <v>1417.7399999999998</v>
      </c>
      <c r="P24" s="31">
        <f t="shared" ref="P24:P25" si="15">((E24+M24+G24)*14)+((I24+K24)*12)</f>
        <v>19709.599999999999</v>
      </c>
      <c r="Q24" s="70">
        <v>12600</v>
      </c>
      <c r="R24" s="71">
        <f t="shared" si="5"/>
        <v>7109.5999999999985</v>
      </c>
      <c r="S24" s="70"/>
      <c r="T24" s="70"/>
    </row>
    <row r="25" spans="1:20" ht="17.100000000000001" customHeight="1" x14ac:dyDescent="0.2">
      <c r="A25" s="7">
        <v>5</v>
      </c>
      <c r="B25" s="7" t="s">
        <v>39</v>
      </c>
      <c r="C25" s="27">
        <v>2207</v>
      </c>
      <c r="D25" s="17" t="s">
        <v>30</v>
      </c>
      <c r="E25" s="30">
        <v>1004.23</v>
      </c>
      <c r="F25" s="58">
        <f t="shared" si="9"/>
        <v>33.474333333333334</v>
      </c>
      <c r="G25" s="30"/>
      <c r="H25" s="58">
        <f t="shared" si="13"/>
        <v>0</v>
      </c>
      <c r="I25" s="30">
        <v>69.38</v>
      </c>
      <c r="J25" s="60">
        <f t="shared" si="1"/>
        <v>2.3126666666666664</v>
      </c>
      <c r="K25" s="31"/>
      <c r="L25" s="32"/>
      <c r="M25" s="31"/>
      <c r="N25" s="31"/>
      <c r="O25" s="33">
        <f t="shared" si="14"/>
        <v>1073.6100000000001</v>
      </c>
      <c r="P25" s="31">
        <f t="shared" si="15"/>
        <v>14891.78</v>
      </c>
      <c r="Q25" s="70">
        <v>12600</v>
      </c>
      <c r="R25" s="71">
        <f t="shared" si="5"/>
        <v>2291.7800000000007</v>
      </c>
      <c r="S25" s="70"/>
      <c r="T25" s="70"/>
    </row>
    <row r="26" spans="1:20" ht="18" customHeight="1" x14ac:dyDescent="0.2">
      <c r="A26" s="8"/>
      <c r="B26" s="8"/>
      <c r="C26" s="28"/>
      <c r="D26" s="41" t="s">
        <v>23</v>
      </c>
      <c r="E26" s="34"/>
      <c r="F26" s="35"/>
      <c r="G26" s="63"/>
      <c r="H26" s="35"/>
      <c r="I26" s="34"/>
      <c r="J26" s="61"/>
      <c r="K26" s="34"/>
      <c r="L26" s="35"/>
      <c r="M26" s="34"/>
      <c r="N26" s="34"/>
      <c r="O26" s="36"/>
      <c r="P26" s="34"/>
    </row>
    <row r="27" spans="1:20" ht="17.100000000000001" hidden="1" customHeight="1" x14ac:dyDescent="0.2">
      <c r="A27" s="9">
        <v>6</v>
      </c>
      <c r="B27" s="9" t="s">
        <v>40</v>
      </c>
      <c r="C27" s="29">
        <v>2057</v>
      </c>
      <c r="D27" s="10" t="s">
        <v>56</v>
      </c>
      <c r="E27" s="30">
        <v>707.7</v>
      </c>
      <c r="F27" s="38">
        <f t="shared" ref="F27:F35" si="16">E27/30</f>
        <v>23.59</v>
      </c>
      <c r="G27" s="30"/>
      <c r="H27" s="38"/>
      <c r="I27" s="30">
        <v>89.76</v>
      </c>
      <c r="J27" s="59">
        <f t="shared" ref="J27:J35" si="17">I27/30</f>
        <v>2.992</v>
      </c>
      <c r="K27" s="30">
        <v>34.32</v>
      </c>
      <c r="L27" s="38">
        <f t="shared" ref="L27:L35" si="18">K27/30</f>
        <v>1.1439999999999999</v>
      </c>
      <c r="M27" s="30"/>
      <c r="N27" s="30"/>
      <c r="O27" s="39">
        <f t="shared" ref="O27:O43" si="19">+M27+K27+I27+E27</f>
        <v>831.78000000000009</v>
      </c>
      <c r="P27" s="30">
        <f t="shared" ref="P27:P43" si="20">((E27+M27)*14)+((I27+K27)*12)</f>
        <v>11396.760000000002</v>
      </c>
      <c r="Q27" s="1">
        <v>12600</v>
      </c>
    </row>
    <row r="28" spans="1:20" ht="17.100000000000001" customHeight="1" x14ac:dyDescent="0.2">
      <c r="A28" s="9">
        <v>6</v>
      </c>
      <c r="B28" s="9" t="s">
        <v>40</v>
      </c>
      <c r="C28" s="29">
        <v>2047</v>
      </c>
      <c r="D28" s="10" t="s">
        <v>35</v>
      </c>
      <c r="E28" s="30">
        <v>750</v>
      </c>
      <c r="F28" s="58">
        <f t="shared" si="16"/>
        <v>25</v>
      </c>
      <c r="G28" s="73">
        <v>105.30000000000005</v>
      </c>
      <c r="H28" s="58">
        <f t="shared" ref="H28:H42" si="21">+G28/30</f>
        <v>3.510000000000002</v>
      </c>
      <c r="I28" s="30">
        <v>31.65</v>
      </c>
      <c r="J28" s="60">
        <f t="shared" si="17"/>
        <v>1.0549999999999999</v>
      </c>
      <c r="K28" s="31">
        <v>20.5</v>
      </c>
      <c r="L28" s="58">
        <f t="shared" si="18"/>
        <v>0.68333333333333335</v>
      </c>
      <c r="M28" s="31"/>
      <c r="N28" s="31"/>
      <c r="O28" s="33">
        <f t="shared" ref="O28:O42" si="22">+M28+K28+I28+E28+G28</f>
        <v>907.45</v>
      </c>
      <c r="P28" s="31">
        <f t="shared" ref="P28:P42" si="23">((E28+M28+G28)*14)+((I28+K28)*12)</f>
        <v>12600</v>
      </c>
      <c r="Q28" s="70">
        <v>12600</v>
      </c>
      <c r="R28" s="71">
        <f t="shared" ref="R28:R42" si="24">+P28-Q28</f>
        <v>0</v>
      </c>
      <c r="S28" s="71">
        <f t="shared" ref="S28:S35" si="25">+E28+G28+I28+K28+M28</f>
        <v>907.45</v>
      </c>
      <c r="T28" s="70">
        <f t="shared" ref="T28:T35" si="26">((E28+G28+M28)*14+(I28+K28)*12)</f>
        <v>12600</v>
      </c>
    </row>
    <row r="29" spans="1:20" ht="17.100000000000001" customHeight="1" x14ac:dyDescent="0.2">
      <c r="A29" s="9">
        <v>6</v>
      </c>
      <c r="B29" s="9" t="s">
        <v>39</v>
      </c>
      <c r="C29" s="29">
        <v>2042</v>
      </c>
      <c r="D29" s="10" t="s">
        <v>34</v>
      </c>
      <c r="E29" s="30">
        <v>750</v>
      </c>
      <c r="F29" s="58">
        <f t="shared" si="16"/>
        <v>25</v>
      </c>
      <c r="G29" s="73">
        <v>105.30000000000005</v>
      </c>
      <c r="H29" s="58">
        <f t="shared" si="21"/>
        <v>3.510000000000002</v>
      </c>
      <c r="I29" s="30">
        <v>31.65</v>
      </c>
      <c r="J29" s="60">
        <f t="shared" si="17"/>
        <v>1.0549999999999999</v>
      </c>
      <c r="K29" s="31">
        <v>20.5</v>
      </c>
      <c r="L29" s="58">
        <f t="shared" si="18"/>
        <v>0.68333333333333335</v>
      </c>
      <c r="M29" s="31"/>
      <c r="N29" s="31"/>
      <c r="O29" s="33">
        <f t="shared" si="22"/>
        <v>907.45</v>
      </c>
      <c r="P29" s="31">
        <f t="shared" si="23"/>
        <v>12600</v>
      </c>
      <c r="Q29" s="70">
        <v>12600</v>
      </c>
      <c r="R29" s="71">
        <f t="shared" si="24"/>
        <v>0</v>
      </c>
      <c r="S29" s="71">
        <f t="shared" si="25"/>
        <v>907.45</v>
      </c>
      <c r="T29" s="70">
        <f t="shared" si="26"/>
        <v>12600</v>
      </c>
    </row>
    <row r="30" spans="1:20" ht="17.100000000000001" customHeight="1" x14ac:dyDescent="0.2">
      <c r="A30" s="9">
        <v>6</v>
      </c>
      <c r="B30" s="9" t="s">
        <v>39</v>
      </c>
      <c r="C30" s="29">
        <v>2205</v>
      </c>
      <c r="D30" s="10" t="s">
        <v>24</v>
      </c>
      <c r="E30" s="30">
        <v>750</v>
      </c>
      <c r="F30" s="58">
        <f t="shared" si="16"/>
        <v>25</v>
      </c>
      <c r="G30" s="73">
        <v>105.30000000000005</v>
      </c>
      <c r="H30" s="58">
        <f t="shared" si="21"/>
        <v>3.510000000000002</v>
      </c>
      <c r="I30" s="30">
        <v>31.65</v>
      </c>
      <c r="J30" s="60">
        <f t="shared" si="17"/>
        <v>1.0549999999999999</v>
      </c>
      <c r="K30" s="31">
        <v>20.5</v>
      </c>
      <c r="L30" s="58">
        <f t="shared" si="18"/>
        <v>0.68333333333333335</v>
      </c>
      <c r="M30" s="31"/>
      <c r="N30" s="31"/>
      <c r="O30" s="33">
        <f t="shared" si="22"/>
        <v>907.45</v>
      </c>
      <c r="P30" s="31">
        <f t="shared" si="23"/>
        <v>12600</v>
      </c>
      <c r="Q30" s="70">
        <v>12600</v>
      </c>
      <c r="R30" s="71">
        <f t="shared" si="24"/>
        <v>0</v>
      </c>
      <c r="S30" s="71">
        <f t="shared" si="25"/>
        <v>907.45</v>
      </c>
      <c r="T30" s="70">
        <f t="shared" si="26"/>
        <v>12600</v>
      </c>
    </row>
    <row r="31" spans="1:20" ht="17.100000000000001" customHeight="1" x14ac:dyDescent="0.2">
      <c r="A31" s="9">
        <v>6</v>
      </c>
      <c r="B31" s="9" t="s">
        <v>40</v>
      </c>
      <c r="C31" s="29">
        <v>2046</v>
      </c>
      <c r="D31" s="10" t="s">
        <v>26</v>
      </c>
      <c r="E31" s="30">
        <v>750</v>
      </c>
      <c r="F31" s="58">
        <f t="shared" si="16"/>
        <v>25</v>
      </c>
      <c r="G31" s="73">
        <v>16.422857142857147</v>
      </c>
      <c r="H31" s="58">
        <f t="shared" si="21"/>
        <v>0.5474285714285716</v>
      </c>
      <c r="I31" s="30">
        <v>42</v>
      </c>
      <c r="J31" s="60">
        <f t="shared" si="17"/>
        <v>1.4</v>
      </c>
      <c r="K31" s="31">
        <v>22</v>
      </c>
      <c r="L31" s="58">
        <f t="shared" si="18"/>
        <v>0.73333333333333328</v>
      </c>
      <c r="M31" s="31">
        <v>78.72</v>
      </c>
      <c r="N31" s="58">
        <f>M31/30</f>
        <v>2.6240000000000001</v>
      </c>
      <c r="O31" s="33">
        <f t="shared" si="22"/>
        <v>909.14285714285722</v>
      </c>
      <c r="P31" s="31">
        <f t="shared" si="23"/>
        <v>12600.000000000002</v>
      </c>
      <c r="Q31" s="70">
        <v>12600</v>
      </c>
      <c r="R31" s="71">
        <f t="shared" si="24"/>
        <v>0</v>
      </c>
      <c r="S31" s="71">
        <f t="shared" si="25"/>
        <v>909.14285714285722</v>
      </c>
      <c r="T31" s="70">
        <f t="shared" si="26"/>
        <v>12600.000000000002</v>
      </c>
    </row>
    <row r="32" spans="1:20" ht="17.100000000000001" customHeight="1" x14ac:dyDescent="0.2">
      <c r="A32" s="9">
        <v>6</v>
      </c>
      <c r="B32" s="9" t="s">
        <v>39</v>
      </c>
      <c r="C32" s="29">
        <v>2048</v>
      </c>
      <c r="D32" s="10" t="s">
        <v>71</v>
      </c>
      <c r="E32" s="30">
        <v>750</v>
      </c>
      <c r="F32" s="58">
        <f t="shared" si="16"/>
        <v>25</v>
      </c>
      <c r="G32" s="73">
        <v>105.30000000000005</v>
      </c>
      <c r="H32" s="58">
        <f t="shared" si="21"/>
        <v>3.510000000000002</v>
      </c>
      <c r="I32" s="30">
        <v>31.65</v>
      </c>
      <c r="J32" s="60">
        <f t="shared" si="17"/>
        <v>1.0549999999999999</v>
      </c>
      <c r="K32" s="31">
        <v>20.5</v>
      </c>
      <c r="L32" s="58">
        <f t="shared" si="18"/>
        <v>0.68333333333333335</v>
      </c>
      <c r="M32" s="31"/>
      <c r="N32" s="31"/>
      <c r="O32" s="33">
        <f t="shared" si="22"/>
        <v>907.45</v>
      </c>
      <c r="P32" s="31">
        <f t="shared" si="23"/>
        <v>12600</v>
      </c>
      <c r="Q32" s="70">
        <v>12600</v>
      </c>
      <c r="R32" s="71">
        <f t="shared" si="24"/>
        <v>0</v>
      </c>
      <c r="S32" s="71">
        <f t="shared" si="25"/>
        <v>907.45</v>
      </c>
      <c r="T32" s="70">
        <f t="shared" si="26"/>
        <v>12600</v>
      </c>
    </row>
    <row r="33" spans="1:20" s="53" customFormat="1" ht="17.100000000000001" customHeight="1" x14ac:dyDescent="0.2">
      <c r="A33" s="9">
        <v>6</v>
      </c>
      <c r="B33" s="9" t="s">
        <v>39</v>
      </c>
      <c r="C33" s="29">
        <v>2044</v>
      </c>
      <c r="D33" s="10" t="s">
        <v>41</v>
      </c>
      <c r="E33" s="30">
        <v>750</v>
      </c>
      <c r="F33" s="58">
        <f t="shared" si="16"/>
        <v>25</v>
      </c>
      <c r="G33" s="73">
        <v>105.30000000000005</v>
      </c>
      <c r="H33" s="58">
        <f t="shared" si="21"/>
        <v>3.510000000000002</v>
      </c>
      <c r="I33" s="30">
        <v>31.65</v>
      </c>
      <c r="J33" s="60">
        <f t="shared" si="17"/>
        <v>1.0549999999999999</v>
      </c>
      <c r="K33" s="31">
        <v>20.5</v>
      </c>
      <c r="L33" s="58">
        <f t="shared" si="18"/>
        <v>0.68333333333333335</v>
      </c>
      <c r="M33" s="31"/>
      <c r="N33" s="31"/>
      <c r="O33" s="33">
        <f t="shared" si="22"/>
        <v>907.45</v>
      </c>
      <c r="P33" s="31">
        <f t="shared" si="23"/>
        <v>12600</v>
      </c>
      <c r="Q33" s="70">
        <v>12600</v>
      </c>
      <c r="R33" s="71">
        <f t="shared" si="24"/>
        <v>0</v>
      </c>
      <c r="S33" s="71">
        <f t="shared" si="25"/>
        <v>907.45</v>
      </c>
      <c r="T33" s="70">
        <f t="shared" si="26"/>
        <v>12600</v>
      </c>
    </row>
    <row r="34" spans="1:20" ht="17.100000000000001" hidden="1" customHeight="1" x14ac:dyDescent="0.2">
      <c r="A34" s="9">
        <v>3</v>
      </c>
      <c r="B34" s="9" t="s">
        <v>39</v>
      </c>
      <c r="C34" s="29">
        <v>2510</v>
      </c>
      <c r="D34" s="10" t="s">
        <v>58</v>
      </c>
      <c r="E34" s="30">
        <v>1085.28</v>
      </c>
      <c r="F34" s="58">
        <f t="shared" si="16"/>
        <v>36.176000000000002</v>
      </c>
      <c r="G34" s="73">
        <v>-185.28</v>
      </c>
      <c r="H34" s="58">
        <f t="shared" si="21"/>
        <v>-6.1760000000000002</v>
      </c>
      <c r="I34" s="30">
        <v>0</v>
      </c>
      <c r="J34" s="60">
        <f t="shared" si="17"/>
        <v>0</v>
      </c>
      <c r="K34" s="30">
        <v>0</v>
      </c>
      <c r="L34" s="58">
        <f t="shared" si="18"/>
        <v>0</v>
      </c>
      <c r="M34" s="30"/>
      <c r="N34" s="30"/>
      <c r="O34" s="39">
        <f t="shared" si="22"/>
        <v>900</v>
      </c>
      <c r="P34" s="30">
        <f t="shared" si="23"/>
        <v>12600</v>
      </c>
      <c r="Q34" s="70">
        <v>12600</v>
      </c>
      <c r="R34" s="71">
        <f t="shared" si="24"/>
        <v>0</v>
      </c>
      <c r="S34" s="71">
        <f t="shared" si="25"/>
        <v>900</v>
      </c>
      <c r="T34" s="70">
        <f t="shared" si="26"/>
        <v>12600</v>
      </c>
    </row>
    <row r="35" spans="1:20" ht="17.100000000000001" customHeight="1" x14ac:dyDescent="0.2">
      <c r="A35" s="9">
        <v>6</v>
      </c>
      <c r="B35" s="9" t="s">
        <v>39</v>
      </c>
      <c r="C35" s="29">
        <v>2500</v>
      </c>
      <c r="D35" s="10" t="s">
        <v>42</v>
      </c>
      <c r="E35" s="30">
        <v>750</v>
      </c>
      <c r="F35" s="58">
        <f t="shared" si="16"/>
        <v>25</v>
      </c>
      <c r="G35" s="73">
        <v>105.30000000000005</v>
      </c>
      <c r="H35" s="58">
        <f t="shared" si="21"/>
        <v>3.510000000000002</v>
      </c>
      <c r="I35" s="30">
        <v>31.65</v>
      </c>
      <c r="J35" s="60">
        <f t="shared" si="17"/>
        <v>1.0549999999999999</v>
      </c>
      <c r="K35" s="30">
        <v>20.5</v>
      </c>
      <c r="L35" s="58">
        <f t="shared" si="18"/>
        <v>0.68333333333333335</v>
      </c>
      <c r="M35" s="30"/>
      <c r="N35" s="30"/>
      <c r="O35" s="39">
        <f t="shared" si="22"/>
        <v>907.45</v>
      </c>
      <c r="P35" s="30">
        <f t="shared" si="23"/>
        <v>12600</v>
      </c>
      <c r="Q35" s="70">
        <v>12600</v>
      </c>
      <c r="R35" s="71">
        <f t="shared" si="24"/>
        <v>0</v>
      </c>
      <c r="S35" s="71">
        <f t="shared" si="25"/>
        <v>907.45</v>
      </c>
      <c r="T35" s="70">
        <f t="shared" si="26"/>
        <v>12600</v>
      </c>
    </row>
    <row r="36" spans="1:20" s="53" customFormat="1" ht="17.100000000000001" hidden="1" customHeight="1" x14ac:dyDescent="0.2">
      <c r="A36" s="9">
        <v>7</v>
      </c>
      <c r="B36" s="9" t="s">
        <v>39</v>
      </c>
      <c r="C36" s="29">
        <v>2214</v>
      </c>
      <c r="D36" s="10" t="s">
        <v>57</v>
      </c>
      <c r="E36" s="30">
        <v>1047.3</v>
      </c>
      <c r="F36" s="38"/>
      <c r="G36" s="30">
        <v>-147.29999999999993</v>
      </c>
      <c r="H36" s="38">
        <f t="shared" si="21"/>
        <v>-4.9099999999999975</v>
      </c>
      <c r="I36" s="30">
        <v>0</v>
      </c>
      <c r="J36" s="59"/>
      <c r="K36" s="30">
        <v>0</v>
      </c>
      <c r="L36" s="59"/>
      <c r="M36" s="30"/>
      <c r="N36" s="30"/>
      <c r="O36" s="39">
        <f t="shared" si="22"/>
        <v>900</v>
      </c>
      <c r="P36" s="30">
        <f t="shared" si="23"/>
        <v>12600</v>
      </c>
      <c r="Q36" s="70">
        <v>12600</v>
      </c>
      <c r="R36" s="71">
        <f t="shared" si="24"/>
        <v>0</v>
      </c>
      <c r="S36" s="72"/>
      <c r="T36" s="72"/>
    </row>
    <row r="37" spans="1:20" s="53" customFormat="1" ht="17.100000000000001" hidden="1" customHeight="1" x14ac:dyDescent="0.2">
      <c r="A37" s="9">
        <v>10</v>
      </c>
      <c r="B37" s="9" t="s">
        <v>55</v>
      </c>
      <c r="C37" s="29">
        <v>19906</v>
      </c>
      <c r="D37" s="10" t="s">
        <v>54</v>
      </c>
      <c r="E37" s="30">
        <v>760.35</v>
      </c>
      <c r="F37" s="38"/>
      <c r="G37" s="30">
        <v>84.199999999999946</v>
      </c>
      <c r="H37" s="38">
        <f t="shared" si="21"/>
        <v>2.8066666666666649</v>
      </c>
      <c r="I37" s="30">
        <v>0</v>
      </c>
      <c r="J37" s="59"/>
      <c r="K37" s="30">
        <v>0</v>
      </c>
      <c r="L37" s="59"/>
      <c r="M37" s="30">
        <v>55.45</v>
      </c>
      <c r="N37" s="30"/>
      <c r="O37" s="39">
        <f t="shared" si="22"/>
        <v>900</v>
      </c>
      <c r="P37" s="30">
        <f t="shared" si="23"/>
        <v>12600</v>
      </c>
      <c r="Q37" s="70">
        <v>12600</v>
      </c>
      <c r="R37" s="71">
        <f t="shared" si="24"/>
        <v>0</v>
      </c>
      <c r="S37" s="72"/>
      <c r="T37" s="72"/>
    </row>
    <row r="38" spans="1:20" s="53" customFormat="1" ht="17.100000000000001" customHeight="1" x14ac:dyDescent="0.2">
      <c r="A38" s="9">
        <v>6</v>
      </c>
      <c r="B38" s="9" t="s">
        <v>39</v>
      </c>
      <c r="C38" s="29">
        <v>2053</v>
      </c>
      <c r="D38" s="10" t="s">
        <v>53</v>
      </c>
      <c r="E38" s="30">
        <v>883.79</v>
      </c>
      <c r="F38" s="58">
        <f>E38/30</f>
        <v>29.459666666666667</v>
      </c>
      <c r="G38" s="30"/>
      <c r="H38" s="58">
        <f t="shared" si="21"/>
        <v>0</v>
      </c>
      <c r="I38" s="30">
        <v>79.3</v>
      </c>
      <c r="J38" s="58">
        <f>I38/30</f>
        <v>2.6433333333333331</v>
      </c>
      <c r="K38" s="30">
        <v>57.18</v>
      </c>
      <c r="L38" s="58">
        <f t="shared" ref="L38:L43" si="27">K38/30</f>
        <v>1.9059999999999999</v>
      </c>
      <c r="M38" s="30"/>
      <c r="N38" s="30"/>
      <c r="O38" s="39">
        <f t="shared" si="22"/>
        <v>1020.27</v>
      </c>
      <c r="P38" s="30">
        <f t="shared" si="23"/>
        <v>14010.82</v>
      </c>
      <c r="Q38" s="70">
        <v>12600</v>
      </c>
      <c r="R38" s="71">
        <f t="shared" si="24"/>
        <v>1410.8199999999997</v>
      </c>
      <c r="S38" s="72"/>
      <c r="T38" s="72"/>
    </row>
    <row r="39" spans="1:20" s="53" customFormat="1" ht="17.100000000000001" customHeight="1" x14ac:dyDescent="0.2">
      <c r="A39" s="9">
        <v>6</v>
      </c>
      <c r="B39" s="9" t="s">
        <v>39</v>
      </c>
      <c r="C39" s="29">
        <v>2043</v>
      </c>
      <c r="D39" s="10" t="s">
        <v>25</v>
      </c>
      <c r="E39" s="30">
        <v>750</v>
      </c>
      <c r="F39" s="58">
        <f>E39/30</f>
        <v>25</v>
      </c>
      <c r="G39" s="73">
        <v>105.30000000000005</v>
      </c>
      <c r="H39" s="58">
        <f t="shared" si="21"/>
        <v>3.510000000000002</v>
      </c>
      <c r="I39" s="30">
        <v>31.65</v>
      </c>
      <c r="J39" s="60">
        <f>I39/30</f>
        <v>1.0549999999999999</v>
      </c>
      <c r="K39" s="31">
        <v>20.5</v>
      </c>
      <c r="L39" s="58">
        <f t="shared" si="27"/>
        <v>0.68333333333333335</v>
      </c>
      <c r="M39" s="31"/>
      <c r="N39" s="31"/>
      <c r="O39" s="33">
        <f t="shared" si="22"/>
        <v>907.45</v>
      </c>
      <c r="P39" s="31">
        <f t="shared" si="23"/>
        <v>12600</v>
      </c>
      <c r="Q39" s="70">
        <v>12600</v>
      </c>
      <c r="R39" s="71">
        <f t="shared" si="24"/>
        <v>0</v>
      </c>
      <c r="S39" s="72">
        <f t="shared" ref="S39:S42" si="28">+E39+G39+I39+K39+M39</f>
        <v>907.45</v>
      </c>
      <c r="T39" s="72">
        <f t="shared" ref="T39:T42" si="29">((E39+G39+M39)*14+(I39+K39)*12)</f>
        <v>12600</v>
      </c>
    </row>
    <row r="40" spans="1:20" s="53" customFormat="1" ht="17.100000000000001" hidden="1" customHeight="1" x14ac:dyDescent="0.2">
      <c r="A40" s="9">
        <v>6</v>
      </c>
      <c r="B40" s="9" t="s">
        <v>39</v>
      </c>
      <c r="C40" s="29">
        <v>2045</v>
      </c>
      <c r="D40" s="10" t="s">
        <v>61</v>
      </c>
      <c r="E40" s="30">
        <v>714.15</v>
      </c>
      <c r="F40" s="59">
        <f>E40/30</f>
        <v>23.805</v>
      </c>
      <c r="G40" s="73">
        <v>112.48714285714284</v>
      </c>
      <c r="H40" s="59">
        <f t="shared" si="21"/>
        <v>3.7495714285714281</v>
      </c>
      <c r="I40" s="30">
        <v>57.83</v>
      </c>
      <c r="J40" s="59">
        <f>I40/30</f>
        <v>1.9276666666666666</v>
      </c>
      <c r="K40" s="30">
        <v>27.76</v>
      </c>
      <c r="L40" s="58">
        <f t="shared" si="27"/>
        <v>0.92533333333333334</v>
      </c>
      <c r="M40" s="30"/>
      <c r="N40" s="30"/>
      <c r="O40" s="39">
        <f t="shared" si="22"/>
        <v>912.22714285714289</v>
      </c>
      <c r="P40" s="30">
        <f t="shared" si="23"/>
        <v>12600</v>
      </c>
      <c r="Q40" s="70">
        <v>12600</v>
      </c>
      <c r="R40" s="71">
        <f t="shared" si="24"/>
        <v>0</v>
      </c>
      <c r="S40" s="72">
        <f t="shared" si="28"/>
        <v>912.22714285714289</v>
      </c>
      <c r="T40" s="72">
        <f t="shared" si="29"/>
        <v>12600</v>
      </c>
    </row>
    <row r="41" spans="1:20" s="53" customFormat="1" ht="17.100000000000001" customHeight="1" x14ac:dyDescent="0.2">
      <c r="A41" s="9">
        <v>10</v>
      </c>
      <c r="B41" s="9" t="s">
        <v>39</v>
      </c>
      <c r="C41" s="29">
        <v>2051</v>
      </c>
      <c r="D41" s="10" t="s">
        <v>73</v>
      </c>
      <c r="E41" s="30">
        <v>750</v>
      </c>
      <c r="F41" s="58">
        <f>E41/30</f>
        <v>25</v>
      </c>
      <c r="G41" s="73">
        <v>118.74000000000004</v>
      </c>
      <c r="H41" s="58">
        <f t="shared" si="21"/>
        <v>3.9580000000000011</v>
      </c>
      <c r="I41" s="30">
        <v>36.47</v>
      </c>
      <c r="J41" s="60">
        <f>I41/30</f>
        <v>1.2156666666666667</v>
      </c>
      <c r="K41" s="31">
        <v>0</v>
      </c>
      <c r="L41" s="58">
        <f t="shared" si="27"/>
        <v>0</v>
      </c>
      <c r="M41" s="31"/>
      <c r="N41" s="31"/>
      <c r="O41" s="33">
        <f t="shared" si="22"/>
        <v>905.21</v>
      </c>
      <c r="P41" s="31">
        <f t="shared" si="23"/>
        <v>12600</v>
      </c>
      <c r="Q41" s="70">
        <v>12600</v>
      </c>
      <c r="R41" s="71">
        <f t="shared" si="24"/>
        <v>0</v>
      </c>
      <c r="S41" s="72">
        <f t="shared" si="28"/>
        <v>905.21</v>
      </c>
      <c r="T41" s="72">
        <f t="shared" si="29"/>
        <v>12600</v>
      </c>
    </row>
    <row r="42" spans="1:20" s="53" customFormat="1" ht="17.100000000000001" customHeight="1" x14ac:dyDescent="0.2">
      <c r="A42" s="9">
        <v>7</v>
      </c>
      <c r="B42" s="9" t="s">
        <v>39</v>
      </c>
      <c r="C42" s="29">
        <v>2209</v>
      </c>
      <c r="D42" s="10" t="s">
        <v>72</v>
      </c>
      <c r="E42" s="30">
        <v>750</v>
      </c>
      <c r="F42" s="58">
        <f>E42/30</f>
        <v>25</v>
      </c>
      <c r="G42" s="73">
        <v>105.30000000000005</v>
      </c>
      <c r="H42" s="58">
        <f t="shared" si="21"/>
        <v>3.510000000000002</v>
      </c>
      <c r="I42" s="30">
        <v>31.65</v>
      </c>
      <c r="J42" s="60">
        <f>I42/30</f>
        <v>1.0549999999999999</v>
      </c>
      <c r="K42" s="31">
        <v>20.5</v>
      </c>
      <c r="L42" s="58">
        <f t="shared" si="27"/>
        <v>0.68333333333333335</v>
      </c>
      <c r="M42" s="31"/>
      <c r="N42" s="31"/>
      <c r="O42" s="33">
        <f t="shared" si="22"/>
        <v>907.45</v>
      </c>
      <c r="P42" s="31">
        <f t="shared" si="23"/>
        <v>12600</v>
      </c>
      <c r="Q42" s="70">
        <v>12600</v>
      </c>
      <c r="R42" s="71">
        <f t="shared" si="24"/>
        <v>0</v>
      </c>
      <c r="S42" s="72">
        <f t="shared" si="28"/>
        <v>907.45</v>
      </c>
      <c r="T42" s="72">
        <f t="shared" si="29"/>
        <v>12600</v>
      </c>
    </row>
    <row r="43" spans="1:20" ht="17.100000000000001" hidden="1" customHeight="1" x14ac:dyDescent="0.2">
      <c r="A43" s="9">
        <v>7</v>
      </c>
      <c r="B43" s="9" t="s">
        <v>39</v>
      </c>
      <c r="C43" s="29">
        <v>2215</v>
      </c>
      <c r="D43" s="10" t="s">
        <v>60</v>
      </c>
      <c r="E43" s="30">
        <v>946.91</v>
      </c>
      <c r="F43" s="38"/>
      <c r="G43" s="30"/>
      <c r="H43" s="38"/>
      <c r="I43" s="30">
        <v>0</v>
      </c>
      <c r="J43" s="38"/>
      <c r="K43" s="30">
        <v>0</v>
      </c>
      <c r="L43" s="38">
        <f t="shared" si="27"/>
        <v>0</v>
      </c>
      <c r="M43" s="30"/>
      <c r="N43" s="30"/>
      <c r="O43" s="39">
        <f t="shared" si="19"/>
        <v>946.91</v>
      </c>
      <c r="P43" s="30">
        <f t="shared" si="20"/>
        <v>13256.74</v>
      </c>
    </row>
    <row r="44" spans="1:20" x14ac:dyDescent="0.2">
      <c r="A44" s="54"/>
      <c r="B44" s="54"/>
      <c r="G44" s="64"/>
    </row>
    <row r="45" spans="1:20" ht="23.25" customHeight="1" x14ac:dyDescent="0.2">
      <c r="A45" s="45" t="s">
        <v>43</v>
      </c>
      <c r="B45" s="12"/>
      <c r="C45" s="42"/>
      <c r="D45" s="43"/>
      <c r="E45" s="44"/>
      <c r="F45" s="44"/>
      <c r="G45" s="65"/>
      <c r="H45" s="44"/>
      <c r="I45" s="129" t="s">
        <v>68</v>
      </c>
      <c r="J45" s="129"/>
      <c r="K45" s="129"/>
      <c r="L45" s="129"/>
      <c r="M45" s="129"/>
      <c r="N45" s="129"/>
      <c r="O45" s="129"/>
    </row>
    <row r="46" spans="1:20" ht="12.95" customHeight="1" x14ac:dyDescent="0.2">
      <c r="A46" s="18" t="s">
        <v>44</v>
      </c>
      <c r="B46" s="19"/>
      <c r="C46" s="19"/>
      <c r="D46" s="19"/>
      <c r="E46" s="24" t="s">
        <v>45</v>
      </c>
      <c r="F46" s="11"/>
      <c r="G46" s="66"/>
      <c r="H46" s="62"/>
      <c r="I46" s="130" t="s">
        <v>62</v>
      </c>
      <c r="J46" s="131"/>
      <c r="K46" s="131"/>
      <c r="L46" s="131"/>
      <c r="M46" s="131"/>
      <c r="N46" s="131"/>
      <c r="O46" s="131"/>
      <c r="P46" s="15">
        <v>0.7</v>
      </c>
    </row>
    <row r="47" spans="1:20" ht="12.95" customHeight="1" x14ac:dyDescent="0.2">
      <c r="A47" s="20" t="s">
        <v>46</v>
      </c>
      <c r="B47" s="21"/>
      <c r="C47" s="21"/>
      <c r="D47" s="21"/>
      <c r="E47" s="25" t="s">
        <v>47</v>
      </c>
      <c r="F47" s="11"/>
      <c r="G47" s="67"/>
      <c r="H47" s="13"/>
      <c r="I47" s="124" t="s">
        <v>63</v>
      </c>
      <c r="J47" s="125"/>
      <c r="K47" s="125"/>
      <c r="L47" s="125"/>
      <c r="M47" s="125"/>
      <c r="N47" s="125"/>
      <c r="O47" s="125"/>
      <c r="P47" s="16">
        <v>0.2</v>
      </c>
    </row>
    <row r="48" spans="1:20" ht="12.95" customHeight="1" x14ac:dyDescent="0.2">
      <c r="A48" s="20" t="s">
        <v>48</v>
      </c>
      <c r="B48" s="21"/>
      <c r="C48" s="21"/>
      <c r="D48" s="21"/>
      <c r="E48" s="25" t="s">
        <v>49</v>
      </c>
      <c r="F48" s="11"/>
      <c r="G48" s="67"/>
      <c r="H48" s="13"/>
      <c r="I48" s="124" t="s">
        <v>64</v>
      </c>
      <c r="J48" s="125"/>
      <c r="K48" s="125"/>
      <c r="L48" s="125"/>
      <c r="M48" s="125"/>
      <c r="N48" s="125"/>
      <c r="O48" s="125"/>
      <c r="P48" s="16">
        <v>0.23</v>
      </c>
    </row>
    <row r="49" spans="1:16" ht="12.95" customHeight="1" x14ac:dyDescent="0.2">
      <c r="A49" s="20" t="s">
        <v>50</v>
      </c>
      <c r="B49" s="21"/>
      <c r="C49" s="21"/>
      <c r="D49" s="21"/>
      <c r="E49" s="25" t="s">
        <v>51</v>
      </c>
      <c r="F49" s="11"/>
      <c r="G49" s="67"/>
      <c r="H49" s="13"/>
      <c r="I49" s="124" t="s">
        <v>65</v>
      </c>
      <c r="J49" s="125"/>
      <c r="K49" s="125"/>
      <c r="L49" s="125"/>
      <c r="M49" s="125"/>
      <c r="N49" s="125"/>
      <c r="O49" s="125"/>
      <c r="P49" s="16">
        <v>118.96</v>
      </c>
    </row>
    <row r="50" spans="1:16" ht="12.95" customHeight="1" x14ac:dyDescent="0.2">
      <c r="A50" s="22" t="s">
        <v>69</v>
      </c>
      <c r="B50" s="23"/>
      <c r="C50" s="23"/>
      <c r="D50" s="23"/>
      <c r="E50" s="26" t="s">
        <v>52</v>
      </c>
      <c r="F50" s="11"/>
      <c r="G50" s="67"/>
      <c r="H50" s="13"/>
      <c r="I50" s="124" t="s">
        <v>70</v>
      </c>
      <c r="J50" s="125"/>
      <c r="K50" s="125"/>
      <c r="L50" s="125"/>
      <c r="M50" s="125"/>
      <c r="N50" s="125"/>
      <c r="O50" s="125"/>
      <c r="P50" s="16">
        <v>116.39</v>
      </c>
    </row>
    <row r="51" spans="1:16" ht="12.95" customHeight="1" x14ac:dyDescent="0.2">
      <c r="A51" s="14"/>
      <c r="B51" s="14"/>
      <c r="C51" s="14"/>
      <c r="D51" s="13"/>
      <c r="E51" s="13"/>
      <c r="F51" s="11"/>
      <c r="G51" s="67"/>
      <c r="H51" s="13"/>
      <c r="I51" s="124" t="s">
        <v>66</v>
      </c>
      <c r="J51" s="125"/>
      <c r="K51" s="125"/>
      <c r="L51" s="125"/>
      <c r="M51" s="125"/>
      <c r="N51" s="125"/>
      <c r="O51" s="125"/>
      <c r="P51" s="16">
        <v>102.21</v>
      </c>
    </row>
    <row r="52" spans="1:16" ht="12.95" customHeight="1" x14ac:dyDescent="0.2">
      <c r="A52" s="55"/>
      <c r="B52" s="55"/>
      <c r="C52" s="56"/>
      <c r="D52" s="13"/>
      <c r="E52" s="13"/>
      <c r="I52" s="126" t="s">
        <v>67</v>
      </c>
      <c r="J52" s="127"/>
      <c r="K52" s="127"/>
      <c r="L52" s="127"/>
      <c r="M52" s="127"/>
      <c r="N52" s="127"/>
      <c r="O52" s="127"/>
      <c r="P52" s="49">
        <v>47.9</v>
      </c>
    </row>
    <row r="53" spans="1:16" ht="15" customHeight="1" x14ac:dyDescent="0.2">
      <c r="A53" s="54"/>
      <c r="B53" s="54"/>
    </row>
    <row r="54" spans="1:16" ht="15" customHeight="1" x14ac:dyDescent="0.2"/>
    <row r="55" spans="1:16" ht="15" customHeight="1" x14ac:dyDescent="0.2">
      <c r="P55" s="57"/>
    </row>
    <row r="56" spans="1:16" x14ac:dyDescent="0.2">
      <c r="P56" s="57"/>
    </row>
    <row r="57" spans="1:16" x14ac:dyDescent="0.2">
      <c r="P57" s="57"/>
    </row>
    <row r="58" spans="1:16" x14ac:dyDescent="0.2">
      <c r="P58" s="57"/>
    </row>
  </sheetData>
  <sheetProtection selectLockedCells="1" selectUnlockedCells="1"/>
  <autoFilter ref="A3:P53" xr:uid="{00000000-0009-0000-0000-000009000000}"/>
  <mergeCells count="9">
    <mergeCell ref="I51:O51"/>
    <mergeCell ref="I52:O52"/>
    <mergeCell ref="S3:T3"/>
    <mergeCell ref="I45:O45"/>
    <mergeCell ref="I46:O46"/>
    <mergeCell ref="I47:O47"/>
    <mergeCell ref="I48:O48"/>
    <mergeCell ref="I49:O49"/>
    <mergeCell ref="I50:O50"/>
  </mergeCells>
  <printOptions horizontalCentered="1"/>
  <pageMargins left="0.15748031496062992" right="0.15748031496062992" top="1.27" bottom="0.15748031496062992" header="0.49" footer="0.15748031496062992"/>
  <pageSetup paperSize="9" scale="86" orientation="portrait" r:id="rId1"/>
  <headerFooter alignWithMargins="0">
    <oddHeader>&amp;C&amp;"Calibri,Negrita"&amp;12&amp;ETABLA SALARIAL CONVENIO SERVICIOS SECURITAS, S.A. 2019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1069-BD19-4B0E-876F-A047B2B55C87}">
  <dimension ref="A1:R39"/>
  <sheetViews>
    <sheetView workbookViewId="0">
      <selection activeCell="G25" sqref="G25"/>
    </sheetView>
  </sheetViews>
  <sheetFormatPr baseColWidth="10" defaultColWidth="11.42578125" defaultRowHeight="12.75" x14ac:dyDescent="0.2"/>
  <cols>
    <col min="1" max="1" width="24.140625" style="1" bestFit="1" customWidth="1"/>
    <col min="2" max="13" width="9.140625" style="1" customWidth="1"/>
    <col min="14" max="14" width="6.42578125" style="1" bestFit="1" customWidth="1"/>
    <col min="15" max="15" width="1.140625" style="1" customWidth="1"/>
    <col min="16" max="16" width="11.140625" style="1" bestFit="1" customWidth="1"/>
    <col min="17" max="17" width="12.5703125" style="1" bestFit="1" customWidth="1"/>
    <col min="18" max="18" width="11.140625" style="1" bestFit="1" customWidth="1"/>
    <col min="19" max="16384" width="11.42578125" style="1"/>
  </cols>
  <sheetData>
    <row r="1" spans="1:18" x14ac:dyDescent="0.2">
      <c r="A1" s="70" t="s">
        <v>94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7.25" customHeight="1" x14ac:dyDescent="0.2">
      <c r="A3" s="70"/>
      <c r="B3" s="78" t="s">
        <v>82</v>
      </c>
      <c r="C3" s="78" t="s">
        <v>83</v>
      </c>
      <c r="D3" s="78" t="s">
        <v>84</v>
      </c>
      <c r="E3" s="78" t="s">
        <v>85</v>
      </c>
      <c r="F3" s="78" t="s">
        <v>86</v>
      </c>
      <c r="G3" s="78" t="s">
        <v>87</v>
      </c>
      <c r="H3" s="78" t="s">
        <v>88</v>
      </c>
      <c r="I3" s="78" t="s">
        <v>89</v>
      </c>
      <c r="J3" s="79" t="s">
        <v>90</v>
      </c>
      <c r="K3" s="78" t="s">
        <v>91</v>
      </c>
      <c r="L3" s="79" t="s">
        <v>92</v>
      </c>
      <c r="M3" s="79" t="s">
        <v>93</v>
      </c>
      <c r="N3" s="79" t="s">
        <v>99</v>
      </c>
      <c r="O3" s="70"/>
      <c r="P3" s="80" t="s">
        <v>97</v>
      </c>
      <c r="Q3" s="80" t="s">
        <v>96</v>
      </c>
      <c r="R3" s="80" t="s">
        <v>98</v>
      </c>
    </row>
    <row r="4" spans="1:18" x14ac:dyDescent="0.2">
      <c r="A4" s="70" t="s">
        <v>2</v>
      </c>
      <c r="B4" s="71">
        <v>857.14</v>
      </c>
      <c r="C4" s="71">
        <v>857.14</v>
      </c>
      <c r="D4" s="71">
        <v>857.14</v>
      </c>
      <c r="E4" s="71">
        <v>857.14</v>
      </c>
      <c r="F4" s="71">
        <v>857.14</v>
      </c>
      <c r="G4" s="71">
        <v>857.14</v>
      </c>
      <c r="H4" s="71">
        <v>900</v>
      </c>
      <c r="I4" s="71">
        <v>900</v>
      </c>
      <c r="J4" s="71">
        <v>900</v>
      </c>
      <c r="K4" s="71">
        <v>900</v>
      </c>
      <c r="L4" s="71">
        <v>900</v>
      </c>
      <c r="M4" s="71">
        <v>900</v>
      </c>
      <c r="N4" s="71"/>
      <c r="O4" s="71"/>
      <c r="P4" s="81">
        <f>SUM(B8:G8)</f>
        <v>428.57</v>
      </c>
      <c r="Q4" s="82">
        <f>SUM(B9:M9)</f>
        <v>878.57000000000153</v>
      </c>
      <c r="R4" s="83">
        <f>SUM(H10:M10)</f>
        <v>450.0000000000008</v>
      </c>
    </row>
    <row r="5" spans="1:18" x14ac:dyDescent="0.2">
      <c r="A5" s="70" t="s">
        <v>81</v>
      </c>
      <c r="B5" s="71">
        <v>30</v>
      </c>
      <c r="C5" s="71">
        <v>30</v>
      </c>
      <c r="D5" s="71">
        <v>30</v>
      </c>
      <c r="E5" s="71">
        <v>30</v>
      </c>
      <c r="F5" s="71">
        <v>30</v>
      </c>
      <c r="G5" s="71">
        <v>30</v>
      </c>
      <c r="H5" s="71">
        <v>0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/>
      <c r="O5" s="71"/>
      <c r="P5" s="71"/>
      <c r="Q5" s="70"/>
      <c r="R5" s="70"/>
    </row>
    <row r="6" spans="1:18" x14ac:dyDescent="0.2">
      <c r="A6" s="70" t="s">
        <v>4</v>
      </c>
      <c r="B6" s="71">
        <v>20</v>
      </c>
      <c r="C6" s="71">
        <v>20</v>
      </c>
      <c r="D6" s="71">
        <v>20</v>
      </c>
      <c r="E6" s="71">
        <v>20</v>
      </c>
      <c r="F6" s="71">
        <v>20</v>
      </c>
      <c r="G6" s="71">
        <v>20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/>
      <c r="O6" s="71"/>
      <c r="P6" s="71"/>
      <c r="Q6" s="70"/>
      <c r="R6" s="70"/>
    </row>
    <row r="7" spans="1:18" ht="20.25" customHeight="1" x14ac:dyDescent="0.2">
      <c r="A7" s="84" t="s">
        <v>6</v>
      </c>
      <c r="B7" s="71">
        <f>SUM(B4:B6)</f>
        <v>907.14</v>
      </c>
      <c r="C7" s="71">
        <f t="shared" ref="C7:M7" si="0">SUM(C4:C6)</f>
        <v>907.14</v>
      </c>
      <c r="D7" s="71">
        <f t="shared" si="0"/>
        <v>907.14</v>
      </c>
      <c r="E7" s="71">
        <f t="shared" si="0"/>
        <v>907.14</v>
      </c>
      <c r="F7" s="71">
        <f t="shared" si="0"/>
        <v>907.14</v>
      </c>
      <c r="G7" s="71">
        <f t="shared" si="0"/>
        <v>907.14</v>
      </c>
      <c r="H7" s="71">
        <f t="shared" si="0"/>
        <v>900</v>
      </c>
      <c r="I7" s="71">
        <f t="shared" si="0"/>
        <v>900</v>
      </c>
      <c r="J7" s="71">
        <f t="shared" si="0"/>
        <v>900</v>
      </c>
      <c r="K7" s="71">
        <f t="shared" si="0"/>
        <v>900</v>
      </c>
      <c r="L7" s="71">
        <f t="shared" si="0"/>
        <v>900</v>
      </c>
      <c r="M7" s="71">
        <f t="shared" si="0"/>
        <v>900</v>
      </c>
      <c r="N7" s="71"/>
      <c r="O7" s="71"/>
      <c r="P7" s="71"/>
      <c r="Q7" s="70"/>
      <c r="R7" s="70"/>
    </row>
    <row r="8" spans="1:18" x14ac:dyDescent="0.2">
      <c r="A8" s="70" t="s">
        <v>101</v>
      </c>
      <c r="B8" s="81">
        <f>+B4*2/12/2</f>
        <v>71.428333333333327</v>
      </c>
      <c r="C8" s="81">
        <f t="shared" ref="C8:G8" si="1">+C4*2/12/2</f>
        <v>71.428333333333327</v>
      </c>
      <c r="D8" s="81">
        <f t="shared" si="1"/>
        <v>71.428333333333327</v>
      </c>
      <c r="E8" s="81">
        <f t="shared" si="1"/>
        <v>71.428333333333327</v>
      </c>
      <c r="F8" s="81">
        <f t="shared" si="1"/>
        <v>71.428333333333327</v>
      </c>
      <c r="G8" s="81">
        <f t="shared" si="1"/>
        <v>71.428333333333327</v>
      </c>
      <c r="H8" s="71"/>
      <c r="I8" s="71"/>
      <c r="J8" s="71"/>
      <c r="K8" s="71"/>
      <c r="L8" s="71"/>
      <c r="M8" s="71"/>
      <c r="N8" s="71"/>
      <c r="O8" s="71"/>
      <c r="P8" s="71"/>
      <c r="Q8" s="70"/>
      <c r="R8" s="70"/>
    </row>
    <row r="9" spans="1:18" x14ac:dyDescent="0.2">
      <c r="A9" s="87" t="s">
        <v>102</v>
      </c>
      <c r="B9" s="82">
        <f>+B4*0.166666666666667/2</f>
        <v>71.42833333333347</v>
      </c>
      <c r="C9" s="82">
        <f t="shared" ref="C9:M9" si="2">+C4*0.166666666666667/2</f>
        <v>71.42833333333347</v>
      </c>
      <c r="D9" s="82">
        <f t="shared" si="2"/>
        <v>71.42833333333347</v>
      </c>
      <c r="E9" s="82">
        <f t="shared" si="2"/>
        <v>71.42833333333347</v>
      </c>
      <c r="F9" s="82">
        <f t="shared" si="2"/>
        <v>71.42833333333347</v>
      </c>
      <c r="G9" s="82">
        <f t="shared" si="2"/>
        <v>71.42833333333347</v>
      </c>
      <c r="H9" s="82">
        <f t="shared" si="2"/>
        <v>75.000000000000142</v>
      </c>
      <c r="I9" s="82">
        <f t="shared" si="2"/>
        <v>75.000000000000142</v>
      </c>
      <c r="J9" s="82">
        <f t="shared" si="2"/>
        <v>75.000000000000142</v>
      </c>
      <c r="K9" s="82">
        <f t="shared" si="2"/>
        <v>75.000000000000142</v>
      </c>
      <c r="L9" s="82">
        <f t="shared" si="2"/>
        <v>75.000000000000142</v>
      </c>
      <c r="M9" s="82">
        <f t="shared" si="2"/>
        <v>75.000000000000142</v>
      </c>
      <c r="N9" s="71"/>
      <c r="O9" s="71"/>
      <c r="P9" s="71"/>
      <c r="Q9" s="70"/>
      <c r="R9" s="70"/>
    </row>
    <row r="10" spans="1:18" x14ac:dyDescent="0.2">
      <c r="A10" s="70" t="s">
        <v>103</v>
      </c>
      <c r="B10" s="71"/>
      <c r="C10" s="71"/>
      <c r="D10" s="71"/>
      <c r="E10" s="71"/>
      <c r="F10" s="71"/>
      <c r="G10" s="71"/>
      <c r="H10" s="83">
        <f>+H4*0.166666666666667/2</f>
        <v>75.000000000000142</v>
      </c>
      <c r="I10" s="83">
        <f t="shared" ref="I10:M10" si="3">+I4*0.166666666666667/2</f>
        <v>75.000000000000142</v>
      </c>
      <c r="J10" s="83">
        <f t="shared" si="3"/>
        <v>75.000000000000142</v>
      </c>
      <c r="K10" s="83">
        <f t="shared" si="3"/>
        <v>75.000000000000142</v>
      </c>
      <c r="L10" s="83">
        <f t="shared" si="3"/>
        <v>75.000000000000142</v>
      </c>
      <c r="M10" s="83">
        <f t="shared" si="3"/>
        <v>75.000000000000142</v>
      </c>
      <c r="N10" s="71"/>
      <c r="O10" s="71"/>
      <c r="P10" s="71"/>
      <c r="Q10" s="70"/>
      <c r="R10" s="70"/>
    </row>
    <row r="11" spans="1:18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0"/>
      <c r="R11" s="70"/>
    </row>
    <row r="12" spans="1:18" ht="15" x14ac:dyDescent="0.2">
      <c r="A12" s="70" t="s">
        <v>95</v>
      </c>
      <c r="B12" s="71">
        <f>+B7-900</f>
        <v>7.1399999999999864</v>
      </c>
      <c r="C12" s="71">
        <f t="shared" ref="C12:M12" si="4">+C7-900</f>
        <v>7.1399999999999864</v>
      </c>
      <c r="D12" s="71">
        <f t="shared" si="4"/>
        <v>7.1399999999999864</v>
      </c>
      <c r="E12" s="71">
        <f t="shared" si="4"/>
        <v>7.1399999999999864</v>
      </c>
      <c r="F12" s="71">
        <f t="shared" si="4"/>
        <v>7.1399999999999864</v>
      </c>
      <c r="G12" s="71">
        <f t="shared" si="4"/>
        <v>7.1399999999999864</v>
      </c>
      <c r="H12" s="71">
        <f t="shared" si="4"/>
        <v>0</v>
      </c>
      <c r="I12" s="71">
        <f t="shared" si="4"/>
        <v>0</v>
      </c>
      <c r="J12" s="71">
        <f t="shared" si="4"/>
        <v>0</v>
      </c>
      <c r="K12" s="71">
        <f t="shared" si="4"/>
        <v>0</v>
      </c>
      <c r="L12" s="71">
        <f t="shared" si="4"/>
        <v>0</v>
      </c>
      <c r="M12" s="71">
        <f t="shared" si="4"/>
        <v>0</v>
      </c>
      <c r="N12" s="85">
        <f>SUM(B12:M12)</f>
        <v>42.839999999999918</v>
      </c>
      <c r="O12" s="71"/>
      <c r="P12" s="71"/>
      <c r="Q12" s="70"/>
      <c r="R12" s="70"/>
    </row>
    <row r="13" spans="1:18" x14ac:dyDescent="0.2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0"/>
      <c r="R13" s="70"/>
    </row>
    <row r="14" spans="1:18" ht="15" x14ac:dyDescent="0.2">
      <c r="A14" s="86" t="s">
        <v>100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85">
        <f>450-P4</f>
        <v>21.430000000000007</v>
      </c>
      <c r="Q14" s="85">
        <f>900-Q4</f>
        <v>21.429999999998472</v>
      </c>
      <c r="R14" s="70"/>
    </row>
    <row r="15" spans="1:18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8" x14ac:dyDescent="0.2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2:16" x14ac:dyDescent="0.2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2:16" x14ac:dyDescent="0.2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2:16" x14ac:dyDescent="0.2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2:16" x14ac:dyDescent="0.2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2:16" x14ac:dyDescent="0.2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2:16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2:16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2:16" x14ac:dyDescent="0.2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2:16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2:16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2:16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2:16" x14ac:dyDescent="0.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2:16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2:16" x14ac:dyDescent="0.2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2:16" x14ac:dyDescent="0.2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2:16" x14ac:dyDescent="0.2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2:16" x14ac:dyDescent="0.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2:16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2:16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2:16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74B4-9C6D-4F78-98A6-C6872ACB3A82}">
  <sheetPr>
    <pageSetUpPr fitToPage="1"/>
  </sheetPr>
  <dimension ref="A1:U26"/>
  <sheetViews>
    <sheetView tabSelected="1" zoomScaleNormal="100" workbookViewId="0">
      <pane ySplit="1" topLeftCell="A2" activePane="bottomLeft" state="frozen"/>
      <selection pane="bottomLeft" activeCell="K10" sqref="K10"/>
    </sheetView>
  </sheetViews>
  <sheetFormatPr baseColWidth="10" defaultColWidth="10.140625" defaultRowHeight="12.75" x14ac:dyDescent="0.2"/>
  <cols>
    <col min="1" max="1" width="11.7109375" style="1" customWidth="1"/>
    <col min="2" max="2" width="6.42578125" style="51" bestFit="1" customWidth="1"/>
    <col min="3" max="3" width="6.42578125" style="51" customWidth="1"/>
    <col min="4" max="4" width="10.42578125" style="51" customWidth="1"/>
    <col min="5" max="5" width="45.140625" style="1" customWidth="1"/>
    <col min="6" max="6" width="11" style="1" bestFit="1" customWidth="1"/>
    <col min="7" max="8" width="10.7109375" style="1" hidden="1" customWidth="1"/>
    <col min="9" max="9" width="10.42578125" style="1" bestFit="1" customWidth="1"/>
    <col min="10" max="10" width="9.85546875" style="1" hidden="1" customWidth="1"/>
    <col min="11" max="11" width="14.85546875" style="1" bestFit="1" customWidth="1"/>
    <col min="12" max="12" width="10.85546875" style="1" bestFit="1" customWidth="1"/>
    <col min="13" max="13" width="10.7109375" style="1" hidden="1" customWidth="1"/>
    <col min="14" max="14" width="11" style="1" bestFit="1" customWidth="1"/>
    <col min="15" max="15" width="10.7109375" style="1" hidden="1" customWidth="1"/>
    <col min="16" max="16" width="12.140625" style="1" bestFit="1" customWidth="1"/>
    <col min="17" max="17" width="11.42578125" style="1" customWidth="1"/>
    <col min="18" max="20" width="9.42578125" style="1" customWidth="1"/>
    <col min="21" max="21" width="44.140625" style="92" bestFit="1" customWidth="1"/>
    <col min="22" max="16384" width="10.140625" style="1"/>
  </cols>
  <sheetData>
    <row r="1" spans="1:21" s="13" customFormat="1" ht="60.75" customHeight="1" x14ac:dyDescent="0.2">
      <c r="A1" s="135" t="s">
        <v>124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03"/>
      <c r="N1" s="104"/>
      <c r="O1" s="104"/>
      <c r="P1" s="104"/>
      <c r="Q1" s="104"/>
      <c r="U1" s="89"/>
    </row>
    <row r="2" spans="1:21" s="52" customFormat="1" ht="39.950000000000003" customHeight="1" x14ac:dyDescent="0.2">
      <c r="A2" s="107" t="s">
        <v>104</v>
      </c>
      <c r="B2" s="108" t="s">
        <v>36</v>
      </c>
      <c r="C2" s="108" t="s">
        <v>37</v>
      </c>
      <c r="D2" s="108" t="s">
        <v>0</v>
      </c>
      <c r="E2" s="109" t="s">
        <v>1</v>
      </c>
      <c r="F2" s="110" t="s">
        <v>2</v>
      </c>
      <c r="G2" s="111">
        <v>110021</v>
      </c>
      <c r="H2" s="111">
        <v>122520</v>
      </c>
      <c r="I2" s="110" t="s">
        <v>32</v>
      </c>
      <c r="J2" s="112">
        <v>15220</v>
      </c>
      <c r="K2" s="112" t="s">
        <v>139</v>
      </c>
      <c r="L2" s="110" t="s">
        <v>33</v>
      </c>
      <c r="M2" s="94">
        <v>116220</v>
      </c>
      <c r="N2" s="93"/>
      <c r="O2" s="95">
        <v>117520</v>
      </c>
      <c r="P2" s="96"/>
      <c r="Q2" s="93"/>
      <c r="U2" s="90"/>
    </row>
    <row r="3" spans="1:21" s="53" customFormat="1" ht="30" customHeight="1" x14ac:dyDescent="0.2">
      <c r="A3" s="88" t="s">
        <v>105</v>
      </c>
      <c r="B3" s="9">
        <v>6</v>
      </c>
      <c r="C3" s="9" t="s">
        <v>39</v>
      </c>
      <c r="D3" s="29">
        <v>2053</v>
      </c>
      <c r="E3" s="10" t="s">
        <v>53</v>
      </c>
      <c r="F3" s="30">
        <v>1134</v>
      </c>
      <c r="G3" s="58">
        <f t="shared" ref="G3" si="0">F3/30</f>
        <v>37.799999999999997</v>
      </c>
      <c r="H3" s="58" t="e">
        <f>+#REF!/30</f>
        <v>#REF!</v>
      </c>
      <c r="I3" s="30">
        <f>F3</f>
        <v>1134</v>
      </c>
      <c r="J3" s="58"/>
      <c r="K3" s="30">
        <v>120</v>
      </c>
      <c r="L3" s="30">
        <f>+I3*14+K3</f>
        <v>15996</v>
      </c>
      <c r="M3" s="97">
        <f t="shared" ref="M3" si="1">L3/30</f>
        <v>533.20000000000005</v>
      </c>
      <c r="N3" s="63"/>
      <c r="O3" s="63"/>
      <c r="P3" s="63"/>
      <c r="Q3" s="63"/>
      <c r="U3" s="91"/>
    </row>
    <row r="4" spans="1:21" ht="24" customHeight="1" x14ac:dyDescent="0.2"/>
    <row r="5" spans="1:21" ht="20.100000000000001" customHeight="1" x14ac:dyDescent="0.2">
      <c r="A5" s="133" t="s">
        <v>106</v>
      </c>
      <c r="B5" s="133"/>
      <c r="C5" s="133"/>
      <c r="D5" s="134"/>
      <c r="E5" s="105" t="s">
        <v>116</v>
      </c>
      <c r="F5" s="13"/>
      <c r="G5" s="13"/>
      <c r="H5" s="13"/>
      <c r="I5" s="13"/>
      <c r="J5" s="101"/>
      <c r="K5" s="101"/>
      <c r="L5" s="101"/>
      <c r="M5" s="101"/>
      <c r="N5" s="101"/>
      <c r="O5" s="101"/>
      <c r="P5" s="101"/>
      <c r="T5" s="92"/>
      <c r="U5" s="1"/>
    </row>
    <row r="6" spans="1:21" ht="20.100000000000001" customHeight="1" x14ac:dyDescent="0.2">
      <c r="A6" s="133" t="s">
        <v>109</v>
      </c>
      <c r="B6" s="133"/>
      <c r="C6" s="133"/>
      <c r="D6" s="134"/>
      <c r="E6" s="105" t="s">
        <v>125</v>
      </c>
      <c r="F6" s="13"/>
      <c r="G6" s="13"/>
      <c r="H6" s="13" t="s">
        <v>111</v>
      </c>
      <c r="I6" s="13"/>
      <c r="J6" s="101"/>
      <c r="K6" s="101"/>
      <c r="L6" s="101"/>
      <c r="M6" s="101"/>
      <c r="N6" s="101"/>
      <c r="O6" s="101"/>
      <c r="P6" s="101"/>
      <c r="T6" s="92"/>
      <c r="U6" s="1"/>
    </row>
    <row r="7" spans="1:21" ht="20.100000000000001" customHeight="1" x14ac:dyDescent="0.2">
      <c r="A7" s="133" t="s">
        <v>107</v>
      </c>
      <c r="B7" s="133"/>
      <c r="C7" s="133"/>
      <c r="D7" s="134"/>
      <c r="E7" s="105" t="s">
        <v>126</v>
      </c>
      <c r="F7" s="13"/>
      <c r="G7" s="13"/>
      <c r="H7" s="13" t="s">
        <v>111</v>
      </c>
      <c r="I7" s="13"/>
      <c r="J7" s="101"/>
      <c r="K7" s="101"/>
      <c r="L7" s="101"/>
      <c r="M7" s="101"/>
      <c r="N7" s="101"/>
      <c r="O7" s="101"/>
      <c r="P7" s="101"/>
      <c r="T7" s="92"/>
      <c r="U7" s="1"/>
    </row>
    <row r="8" spans="1:21" ht="20.100000000000001" customHeight="1" x14ac:dyDescent="0.2">
      <c r="A8" s="133" t="s">
        <v>110</v>
      </c>
      <c r="B8" s="133"/>
      <c r="C8" s="133"/>
      <c r="D8" s="134"/>
      <c r="E8" s="70" t="s">
        <v>115</v>
      </c>
      <c r="F8" s="13"/>
      <c r="G8" s="13"/>
      <c r="H8" s="13"/>
      <c r="I8" s="13"/>
      <c r="J8" s="101"/>
      <c r="K8" s="101"/>
      <c r="L8" s="101"/>
      <c r="M8" s="101"/>
      <c r="N8" s="101"/>
      <c r="O8" s="101"/>
      <c r="P8" s="101"/>
      <c r="T8" s="92"/>
      <c r="U8" s="1"/>
    </row>
    <row r="9" spans="1:21" ht="20.100000000000001" customHeight="1" x14ac:dyDescent="0.2">
      <c r="A9" s="133" t="s">
        <v>108</v>
      </c>
      <c r="B9" s="133"/>
      <c r="C9" s="133"/>
      <c r="D9" s="134"/>
      <c r="E9" s="106" t="s">
        <v>117</v>
      </c>
      <c r="F9" s="13"/>
      <c r="G9" s="13"/>
      <c r="H9" s="13"/>
      <c r="I9" s="13"/>
      <c r="J9" s="101"/>
      <c r="K9" s="101"/>
      <c r="L9" s="101"/>
      <c r="M9" s="101"/>
      <c r="N9" s="101"/>
      <c r="O9" s="101"/>
      <c r="P9" s="101"/>
      <c r="T9" s="92"/>
      <c r="U9" s="1"/>
    </row>
    <row r="10" spans="1:21" ht="20.100000000000001" customHeight="1" x14ac:dyDescent="0.2">
      <c r="A10" s="133" t="s">
        <v>112</v>
      </c>
      <c r="B10" s="133"/>
      <c r="C10" s="133"/>
      <c r="D10" s="134"/>
      <c r="E10" s="132" t="s">
        <v>118</v>
      </c>
      <c r="F10" s="132"/>
      <c r="G10" s="132"/>
      <c r="H10" s="132"/>
      <c r="I10" s="132"/>
      <c r="J10" s="102"/>
      <c r="K10" s="102"/>
      <c r="L10" s="102"/>
      <c r="M10" s="98"/>
      <c r="N10" s="98"/>
      <c r="O10" s="98"/>
      <c r="P10" s="98"/>
      <c r="T10" s="92"/>
      <c r="U10" s="1"/>
    </row>
    <row r="11" spans="1:21" ht="20.100000000000001" customHeight="1" x14ac:dyDescent="0.2">
      <c r="A11" s="136"/>
      <c r="B11" s="136"/>
      <c r="C11" s="136"/>
      <c r="D11" s="137"/>
      <c r="E11" s="132" t="s">
        <v>119</v>
      </c>
      <c r="F11" s="132"/>
      <c r="G11" s="132"/>
      <c r="H11" s="132"/>
      <c r="I11" s="132"/>
      <c r="J11" s="102"/>
      <c r="K11" s="102"/>
      <c r="L11" s="102"/>
      <c r="M11" s="98"/>
      <c r="N11" s="98"/>
      <c r="O11" s="98"/>
      <c r="P11" s="98"/>
      <c r="T11" s="92"/>
      <c r="U11" s="1"/>
    </row>
    <row r="12" spans="1:21" ht="20.100000000000001" customHeight="1" x14ac:dyDescent="0.2">
      <c r="A12" s="99"/>
      <c r="B12" s="100"/>
      <c r="C12" s="100"/>
      <c r="D12" s="100"/>
      <c r="E12" s="132" t="s">
        <v>120</v>
      </c>
      <c r="F12" s="132"/>
      <c r="G12" s="132"/>
      <c r="H12" s="132"/>
      <c r="I12" s="132"/>
      <c r="J12" s="102"/>
      <c r="K12" s="102"/>
      <c r="L12" s="102"/>
      <c r="M12" s="98"/>
      <c r="N12" s="98"/>
      <c r="O12" s="98"/>
      <c r="P12" s="98"/>
      <c r="T12" s="92"/>
      <c r="U12" s="1"/>
    </row>
    <row r="13" spans="1:21" ht="20.100000000000001" customHeight="1" x14ac:dyDescent="0.2">
      <c r="A13" s="99"/>
      <c r="B13" s="100"/>
      <c r="C13" s="100"/>
      <c r="D13" s="100"/>
      <c r="E13" s="132" t="s">
        <v>121</v>
      </c>
      <c r="F13" s="132"/>
      <c r="G13" s="132"/>
      <c r="H13" s="132"/>
      <c r="I13" s="132"/>
      <c r="J13" s="102"/>
      <c r="K13" s="102"/>
      <c r="L13" s="102"/>
      <c r="M13" s="98"/>
      <c r="N13" s="98"/>
      <c r="O13" s="98"/>
      <c r="P13" s="98"/>
      <c r="T13" s="92"/>
      <c r="U13" s="1"/>
    </row>
    <row r="14" spans="1:21" ht="20.100000000000001" customHeight="1" x14ac:dyDescent="0.2">
      <c r="A14" s="133" t="s">
        <v>113</v>
      </c>
      <c r="B14" s="133"/>
      <c r="C14" s="133"/>
      <c r="D14" s="134"/>
      <c r="E14" s="132" t="s">
        <v>122</v>
      </c>
      <c r="F14" s="132"/>
      <c r="G14" s="132"/>
      <c r="H14" s="132"/>
      <c r="I14" s="132"/>
      <c r="J14" s="101"/>
      <c r="K14" s="101"/>
      <c r="L14" s="101"/>
      <c r="M14" s="101"/>
      <c r="N14" s="101"/>
      <c r="O14" s="101"/>
      <c r="P14" s="101"/>
      <c r="T14" s="92"/>
      <c r="U14" s="1"/>
    </row>
    <row r="15" spans="1:21" ht="20.100000000000001" customHeight="1" x14ac:dyDescent="0.2">
      <c r="A15" s="133" t="s">
        <v>114</v>
      </c>
      <c r="B15" s="133"/>
      <c r="C15" s="133"/>
      <c r="D15" s="134"/>
      <c r="E15" s="132" t="s">
        <v>123</v>
      </c>
      <c r="F15" s="132"/>
      <c r="G15" s="132"/>
      <c r="H15" s="132"/>
      <c r="I15" s="132"/>
      <c r="J15" s="101"/>
      <c r="K15" s="101"/>
      <c r="L15" s="101"/>
      <c r="M15" s="101"/>
      <c r="N15" s="101"/>
      <c r="O15" s="101"/>
      <c r="P15" s="101"/>
      <c r="T15" s="92"/>
      <c r="U15" s="1"/>
    </row>
    <row r="16" spans="1:21" x14ac:dyDescent="0.2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T16" s="92"/>
      <c r="U16" s="1"/>
    </row>
    <row r="17" spans="1:21" x14ac:dyDescent="0.2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T17" s="92"/>
      <c r="U17" s="1"/>
    </row>
    <row r="18" spans="1:21" s="113" customFormat="1" ht="15" x14ac:dyDescent="0.2">
      <c r="A18" s="113" t="s">
        <v>134</v>
      </c>
      <c r="B18" s="114"/>
      <c r="C18" s="114"/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T18" s="116"/>
    </row>
    <row r="19" spans="1:21" s="113" customFormat="1" ht="9.75" customHeight="1" x14ac:dyDescent="0.2">
      <c r="B19" s="114"/>
      <c r="C19" s="114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T19" s="116"/>
    </row>
    <row r="20" spans="1:21" s="120" customFormat="1" ht="15" x14ac:dyDescent="0.2">
      <c r="A20" s="120" t="s">
        <v>135</v>
      </c>
      <c r="B20" s="121"/>
      <c r="C20" s="121"/>
      <c r="D20" s="121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T20" s="123"/>
    </row>
    <row r="21" spans="1:21" s="113" customFormat="1" ht="15" x14ac:dyDescent="0.2">
      <c r="B21" s="117" t="s">
        <v>127</v>
      </c>
      <c r="C21" s="117"/>
      <c r="D21" s="117"/>
      <c r="E21" s="118" t="s">
        <v>128</v>
      </c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T21" s="116"/>
    </row>
    <row r="22" spans="1:21" s="113" customFormat="1" ht="15" x14ac:dyDescent="0.2">
      <c r="B22" s="117" t="s">
        <v>130</v>
      </c>
      <c r="C22" s="117"/>
      <c r="D22" s="117"/>
      <c r="E22" s="118" t="s">
        <v>53</v>
      </c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T22" s="116"/>
    </row>
    <row r="23" spans="1:21" s="113" customFormat="1" ht="15" x14ac:dyDescent="0.2">
      <c r="B23" s="117" t="s">
        <v>129</v>
      </c>
      <c r="C23" s="117"/>
      <c r="D23" s="117"/>
      <c r="E23" s="118" t="s">
        <v>131</v>
      </c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T23" s="116"/>
    </row>
    <row r="24" spans="1:21" s="113" customFormat="1" ht="15" x14ac:dyDescent="0.2">
      <c r="B24" s="117" t="s">
        <v>132</v>
      </c>
      <c r="C24" s="117"/>
      <c r="D24" s="117"/>
      <c r="E24" s="119" t="s">
        <v>136</v>
      </c>
      <c r="F24" s="138" t="s">
        <v>138</v>
      </c>
      <c r="G24" s="139"/>
      <c r="H24" s="139"/>
      <c r="I24" s="139"/>
      <c r="J24" s="139"/>
      <c r="K24" s="139"/>
      <c r="L24" s="140"/>
      <c r="M24" s="115"/>
      <c r="N24" s="115"/>
      <c r="O24" s="115"/>
      <c r="P24" s="115"/>
      <c r="T24" s="116"/>
    </row>
    <row r="25" spans="1:21" s="113" customFormat="1" ht="15" x14ac:dyDescent="0.2">
      <c r="B25" s="117" t="s">
        <v>133</v>
      </c>
      <c r="C25" s="117"/>
      <c r="D25" s="117"/>
      <c r="E25" s="119" t="s">
        <v>137</v>
      </c>
      <c r="F25" s="141"/>
      <c r="G25" s="142"/>
      <c r="H25" s="142"/>
      <c r="I25" s="142"/>
      <c r="J25" s="142"/>
      <c r="K25" s="142"/>
      <c r="L25" s="143"/>
      <c r="M25" s="115"/>
      <c r="N25" s="115"/>
      <c r="O25" s="115"/>
      <c r="P25" s="115"/>
      <c r="T25" s="116"/>
    </row>
    <row r="26" spans="1:21" x14ac:dyDescent="0.2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T26" s="92"/>
      <c r="U26" s="1"/>
    </row>
  </sheetData>
  <sheetProtection algorithmName="SHA-512" hashValue="aRFVXTtFm8I/HikoLLC0wVWjGT0Ex5/qxKEHcUrMjyUjX4ne6Pob38/5hFv78zJ2tfwapD1LsUkTW9xgyKlhzg==" saltValue="K03UHBBP6KETcosXsuUh7A==" spinCount="100000" sheet="1" selectLockedCells="1" selectUnlockedCells="1"/>
  <mergeCells count="17">
    <mergeCell ref="F24:L25"/>
    <mergeCell ref="E15:I15"/>
    <mergeCell ref="A14:D14"/>
    <mergeCell ref="A15:D15"/>
    <mergeCell ref="E12:I12"/>
    <mergeCell ref="E13:I13"/>
    <mergeCell ref="E14:I14"/>
    <mergeCell ref="E10:I10"/>
    <mergeCell ref="E11:I11"/>
    <mergeCell ref="A9:D9"/>
    <mergeCell ref="A10:D10"/>
    <mergeCell ref="A1:L1"/>
    <mergeCell ref="A5:D5"/>
    <mergeCell ref="A6:D6"/>
    <mergeCell ref="A7:D7"/>
    <mergeCell ref="A8:D8"/>
    <mergeCell ref="A11:D11"/>
  </mergeCells>
  <printOptions horizontalCentered="1"/>
  <pageMargins left="0.15748031496062992" right="0.15748031496062992" top="0.47244094488188981" bottom="0" header="0.15748031496062992" footer="0.15748031496062992"/>
  <pageSetup paperSize="9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5FD8-9C47-4288-B092-5FFDAC826360}">
  <sheetPr>
    <pageSetUpPr fitToPage="1"/>
  </sheetPr>
  <dimension ref="A1:AE29"/>
  <sheetViews>
    <sheetView zoomScale="110" zoomScaleNormal="110" workbookViewId="0">
      <pane ySplit="2" topLeftCell="A3" activePane="bottomLeft" state="frozen"/>
      <selection pane="bottomLeft" activeCell="S3" sqref="S3:S4"/>
    </sheetView>
  </sheetViews>
  <sheetFormatPr baseColWidth="10" defaultColWidth="10.140625" defaultRowHeight="12.75" x14ac:dyDescent="0.2"/>
  <cols>
    <col min="1" max="1" width="42.28515625" style="1" bestFit="1" customWidth="1"/>
    <col min="2" max="2" width="8" style="1" customWidth="1"/>
    <col min="3" max="3" width="10.7109375" style="1" hidden="1" customWidth="1"/>
    <col min="4" max="4" width="8.5703125" style="57" customWidth="1"/>
    <col min="5" max="5" width="9.7109375" style="1" hidden="1" customWidth="1"/>
    <col min="6" max="6" width="7.140625" style="1" customWidth="1"/>
    <col min="7" max="7" width="9.85546875" style="1" hidden="1" customWidth="1"/>
    <col min="8" max="8" width="6.42578125" style="1" customWidth="1"/>
    <col min="9" max="9" width="10.7109375" style="1" hidden="1" customWidth="1"/>
    <col min="10" max="10" width="7.28515625" style="1" customWidth="1"/>
    <col min="11" max="11" width="10.7109375" style="1" hidden="1" customWidth="1"/>
    <col min="12" max="12" width="7.7109375" style="1" customWidth="1"/>
    <col min="13" max="13" width="8.5703125" style="1" customWidth="1"/>
    <col min="14" max="14" width="7.5703125" style="1" hidden="1" customWidth="1"/>
    <col min="15" max="15" width="11.5703125" style="1" hidden="1" customWidth="1"/>
    <col min="16" max="16" width="8.85546875" style="1" hidden="1" customWidth="1"/>
    <col min="17" max="17" width="6.85546875" style="1" hidden="1" customWidth="1"/>
    <col min="18" max="18" width="1.42578125" style="1" customWidth="1"/>
    <col min="19" max="19" width="10.42578125" style="1" bestFit="1" customWidth="1"/>
    <col min="20" max="20" width="10.7109375" style="1" hidden="1" customWidth="1"/>
    <col min="21" max="21" width="9.7109375" style="1" hidden="1" customWidth="1"/>
    <col min="22" max="22" width="7.140625" style="1" customWidth="1"/>
    <col min="23" max="23" width="9.85546875" style="1" hidden="1" customWidth="1"/>
    <col min="24" max="24" width="6.42578125" style="1" customWidth="1"/>
    <col min="25" max="25" width="10.7109375" style="1" hidden="1" customWidth="1"/>
    <col min="26" max="26" width="7.28515625" style="1" customWidth="1"/>
    <col min="27" max="27" width="10.7109375" style="1" hidden="1" customWidth="1"/>
    <col min="28" max="28" width="7.7109375" style="1" customWidth="1"/>
    <col min="29" max="29" width="8.5703125" style="1" customWidth="1"/>
    <col min="30" max="16384" width="10.140625" style="1"/>
  </cols>
  <sheetData>
    <row r="1" spans="1:31" ht="41.25" customHeight="1" x14ac:dyDescent="0.2">
      <c r="B1" s="144" t="s">
        <v>79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S1" s="144" t="s">
        <v>80</v>
      </c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31" s="52" customFormat="1" ht="39.75" customHeight="1" x14ac:dyDescent="0.2">
      <c r="A2" s="47" t="s">
        <v>1</v>
      </c>
      <c r="B2" s="48" t="s">
        <v>2</v>
      </c>
      <c r="C2" s="2">
        <v>110021</v>
      </c>
      <c r="D2" s="48" t="s">
        <v>74</v>
      </c>
      <c r="E2" s="2">
        <v>122520</v>
      </c>
      <c r="F2" s="48" t="s">
        <v>3</v>
      </c>
      <c r="G2" s="3">
        <v>15220</v>
      </c>
      <c r="H2" s="48" t="s">
        <v>4</v>
      </c>
      <c r="I2" s="3">
        <v>116220</v>
      </c>
      <c r="J2" s="48" t="s">
        <v>5</v>
      </c>
      <c r="K2" s="2">
        <v>117520</v>
      </c>
      <c r="L2" s="47" t="s">
        <v>32</v>
      </c>
      <c r="M2" s="48" t="s">
        <v>33</v>
      </c>
      <c r="N2" s="74" t="s">
        <v>75</v>
      </c>
      <c r="O2" s="69" t="s">
        <v>76</v>
      </c>
      <c r="P2" s="128" t="s">
        <v>77</v>
      </c>
      <c r="Q2" s="128"/>
      <c r="S2" s="48" t="s">
        <v>2</v>
      </c>
      <c r="T2" s="2">
        <v>110021</v>
      </c>
      <c r="U2" s="2">
        <v>122520</v>
      </c>
      <c r="V2" s="48" t="s">
        <v>3</v>
      </c>
      <c r="W2" s="3">
        <v>15220</v>
      </c>
      <c r="X2" s="48" t="s">
        <v>4</v>
      </c>
      <c r="Y2" s="3">
        <v>116220</v>
      </c>
      <c r="Z2" s="48" t="s">
        <v>5</v>
      </c>
      <c r="AA2" s="2">
        <v>117520</v>
      </c>
      <c r="AB2" s="47" t="s">
        <v>32</v>
      </c>
      <c r="AC2" s="48" t="s">
        <v>33</v>
      </c>
    </row>
    <row r="3" spans="1:31" ht="17.100000000000001" customHeight="1" x14ac:dyDescent="0.2">
      <c r="A3" s="10" t="s">
        <v>19</v>
      </c>
      <c r="B3" s="30">
        <v>750</v>
      </c>
      <c r="C3" s="58">
        <f t="shared" ref="C3:C4" si="0">B3/30</f>
        <v>25</v>
      </c>
      <c r="D3" s="73">
        <v>118.74000000000004</v>
      </c>
      <c r="E3" s="58">
        <f t="shared" ref="E3:E4" si="1">+D3/30</f>
        <v>3.9580000000000011</v>
      </c>
      <c r="F3" s="30">
        <v>36.47</v>
      </c>
      <c r="G3" s="60">
        <f t="shared" ref="G3:G4" si="2">F3/30</f>
        <v>1.2156666666666667</v>
      </c>
      <c r="H3" s="31"/>
      <c r="I3" s="32"/>
      <c r="J3" s="31"/>
      <c r="K3" s="31"/>
      <c r="L3" s="33">
        <f t="shared" ref="L3:L4" si="3">+J3+H3+F3+B3+D3</f>
        <v>905.21</v>
      </c>
      <c r="M3" s="31">
        <f t="shared" ref="M3:M4" si="4">((B3+J3+D3)*14)+((F3+H3)*12)</f>
        <v>12600</v>
      </c>
      <c r="N3" s="70">
        <v>12600</v>
      </c>
      <c r="O3" s="71">
        <f t="shared" ref="O3:O4" si="5">+M3-N3</f>
        <v>0</v>
      </c>
      <c r="P3" s="71">
        <f>+B3+D3+F3+H3+J3</f>
        <v>905.21</v>
      </c>
      <c r="Q3" s="70">
        <f>((B3+D3+J3)*14+(F3+H3)*12)</f>
        <v>12600</v>
      </c>
      <c r="S3" s="30">
        <v>868.74</v>
      </c>
      <c r="T3" s="58">
        <f t="shared" ref="T3:T13" si="6">S3/30</f>
        <v>28.958000000000002</v>
      </c>
      <c r="U3" s="58" t="e">
        <f>+#REF!/30</f>
        <v>#REF!</v>
      </c>
      <c r="V3" s="30">
        <v>36.47</v>
      </c>
      <c r="W3" s="60">
        <f t="shared" ref="W3:W13" si="7">V3/30</f>
        <v>1.2156666666666667</v>
      </c>
      <c r="X3" s="31"/>
      <c r="Y3" s="32"/>
      <c r="Z3" s="31"/>
      <c r="AA3" s="31"/>
      <c r="AB3" s="33">
        <f t="shared" ref="AB3:AB5" si="8">+S3+V3+X3</f>
        <v>905.21</v>
      </c>
      <c r="AC3" s="31">
        <f t="shared" ref="AC3:AC5" si="9">(S3*14)+((V3+X3)*12)</f>
        <v>12600</v>
      </c>
      <c r="AD3" s="57">
        <f>+AC3-12600</f>
        <v>0</v>
      </c>
      <c r="AE3" s="1">
        <f>+AD3/14</f>
        <v>0</v>
      </c>
    </row>
    <row r="4" spans="1:31" ht="17.100000000000001" customHeight="1" x14ac:dyDescent="0.2">
      <c r="A4" s="10" t="s">
        <v>31</v>
      </c>
      <c r="B4" s="30">
        <v>750</v>
      </c>
      <c r="C4" s="58">
        <f t="shared" si="0"/>
        <v>25</v>
      </c>
      <c r="D4" s="73">
        <v>118.74000000000004</v>
      </c>
      <c r="E4" s="58">
        <f t="shared" si="1"/>
        <v>3.9580000000000011</v>
      </c>
      <c r="F4" s="30">
        <v>36.47</v>
      </c>
      <c r="G4" s="60">
        <f t="shared" si="2"/>
        <v>1.2156666666666667</v>
      </c>
      <c r="H4" s="31"/>
      <c r="I4" s="32"/>
      <c r="J4" s="31"/>
      <c r="K4" s="31"/>
      <c r="L4" s="33">
        <f t="shared" si="3"/>
        <v>905.21</v>
      </c>
      <c r="M4" s="31">
        <f t="shared" si="4"/>
        <v>12600</v>
      </c>
      <c r="N4" s="70">
        <v>12600</v>
      </c>
      <c r="O4" s="71">
        <f t="shared" si="5"/>
        <v>0</v>
      </c>
      <c r="P4" s="71">
        <f>+B4+D4+F4+H4+J4</f>
        <v>905.21</v>
      </c>
      <c r="Q4" s="70">
        <f>((B4+D4+J4)*14+(F4+H4)*12)</f>
        <v>12600</v>
      </c>
      <c r="S4" s="30">
        <v>868.74</v>
      </c>
      <c r="T4" s="58">
        <f t="shared" si="6"/>
        <v>28.958000000000002</v>
      </c>
      <c r="U4" s="58" t="e">
        <f>+#REF!/30</f>
        <v>#REF!</v>
      </c>
      <c r="V4" s="30">
        <v>36.47</v>
      </c>
      <c r="W4" s="60">
        <f t="shared" si="7"/>
        <v>1.2156666666666667</v>
      </c>
      <c r="X4" s="31"/>
      <c r="Y4" s="32"/>
      <c r="Z4" s="31"/>
      <c r="AA4" s="31"/>
      <c r="AB4" s="33">
        <f t="shared" si="8"/>
        <v>905.21</v>
      </c>
      <c r="AC4" s="31">
        <f t="shared" si="9"/>
        <v>12600</v>
      </c>
      <c r="AD4" s="57">
        <f>-AE3+S3</f>
        <v>868.74</v>
      </c>
    </row>
    <row r="5" spans="1:31" ht="17.100000000000001" hidden="1" customHeight="1" x14ac:dyDescent="0.2">
      <c r="A5" s="10" t="s">
        <v>56</v>
      </c>
      <c r="B5" s="30">
        <v>707.7</v>
      </c>
      <c r="C5" s="38">
        <f t="shared" ref="C5:C13" si="10">B5/30</f>
        <v>23.59</v>
      </c>
      <c r="D5" s="30"/>
      <c r="E5" s="38"/>
      <c r="F5" s="30">
        <v>89.76</v>
      </c>
      <c r="G5" s="59">
        <f t="shared" ref="G5:G13" si="11">F5/30</f>
        <v>2.992</v>
      </c>
      <c r="H5" s="30">
        <v>34.32</v>
      </c>
      <c r="I5" s="38">
        <f t="shared" ref="I5:I13" si="12">H5/30</f>
        <v>1.1439999999999999</v>
      </c>
      <c r="J5" s="30"/>
      <c r="K5" s="30"/>
      <c r="L5" s="39">
        <f t="shared" ref="L5:L20" si="13">+J5+H5+F5+B5</f>
        <v>831.78000000000009</v>
      </c>
      <c r="M5" s="30">
        <f t="shared" ref="M5:M20" si="14">((B5+J5)*14)+((F5+H5)*12)</f>
        <v>11396.760000000002</v>
      </c>
      <c r="N5" s="1">
        <v>12600</v>
      </c>
      <c r="S5" s="30">
        <v>857.14285700000005</v>
      </c>
      <c r="T5" s="38">
        <f t="shared" si="6"/>
        <v>28.571428566666668</v>
      </c>
      <c r="U5" s="38"/>
      <c r="V5" s="30">
        <v>89.76</v>
      </c>
      <c r="W5" s="59">
        <f t="shared" si="7"/>
        <v>2.992</v>
      </c>
      <c r="X5" s="30">
        <v>34.32</v>
      </c>
      <c r="Y5" s="38">
        <f t="shared" ref="Y5:Y13" si="15">X5/30</f>
        <v>1.1439999999999999</v>
      </c>
      <c r="Z5" s="30"/>
      <c r="AA5" s="30"/>
      <c r="AB5" s="33">
        <f t="shared" si="8"/>
        <v>981.22285700000009</v>
      </c>
      <c r="AC5" s="31">
        <f t="shared" si="9"/>
        <v>13488.959998000002</v>
      </c>
    </row>
    <row r="6" spans="1:31" ht="17.100000000000001" customHeight="1" x14ac:dyDescent="0.2">
      <c r="A6" s="10" t="s">
        <v>35</v>
      </c>
      <c r="B6" s="30">
        <v>750</v>
      </c>
      <c r="C6" s="58">
        <f t="shared" si="10"/>
        <v>25</v>
      </c>
      <c r="D6" s="73">
        <v>105.30000000000005</v>
      </c>
      <c r="E6" s="58">
        <f t="shared" ref="E6:E19" si="16">+D6/30</f>
        <v>3.510000000000002</v>
      </c>
      <c r="F6" s="75">
        <v>31.65</v>
      </c>
      <c r="G6" s="60">
        <f t="shared" si="11"/>
        <v>1.0549999999999999</v>
      </c>
      <c r="H6" s="75">
        <v>20.5</v>
      </c>
      <c r="I6" s="58">
        <f t="shared" si="12"/>
        <v>0.68333333333333335</v>
      </c>
      <c r="J6" s="31"/>
      <c r="K6" s="31"/>
      <c r="L6" s="33">
        <f t="shared" ref="L6:L19" si="17">+J6+H6+F6+B6+D6</f>
        <v>907.45</v>
      </c>
      <c r="M6" s="31">
        <f t="shared" ref="M6:M19" si="18">((B6+J6+D6)*14)+((F6+H6)*12)</f>
        <v>12600</v>
      </c>
      <c r="N6" s="70">
        <v>12600</v>
      </c>
      <c r="O6" s="71">
        <f t="shared" ref="O6:O19" si="19">+M6-N6</f>
        <v>0</v>
      </c>
      <c r="P6" s="71">
        <f t="shared" ref="P6:P13" si="20">+B6+D6+F6+H6+J6</f>
        <v>907.45</v>
      </c>
      <c r="Q6" s="70">
        <f t="shared" ref="Q6:Q13" si="21">((B6+D6+J6)*14+(F6+H6)*12)</f>
        <v>12600</v>
      </c>
      <c r="S6" s="30">
        <v>857.14285700000005</v>
      </c>
      <c r="T6" s="58">
        <f t="shared" si="6"/>
        <v>28.571428566666668</v>
      </c>
      <c r="U6" s="58" t="e">
        <f>+#REF!/30</f>
        <v>#REF!</v>
      </c>
      <c r="V6" s="75">
        <v>30</v>
      </c>
      <c r="W6" s="60">
        <f t="shared" si="7"/>
        <v>1</v>
      </c>
      <c r="X6" s="75">
        <v>20</v>
      </c>
      <c r="Y6" s="58">
        <f t="shared" si="15"/>
        <v>0.66666666666666663</v>
      </c>
      <c r="Z6" s="31"/>
      <c r="AA6" s="31"/>
      <c r="AB6" s="33">
        <f>+S6+V6+X6</f>
        <v>907.14285700000005</v>
      </c>
      <c r="AC6" s="31">
        <f>(S6*14)+((V6+X6)*12)</f>
        <v>12599.999998000001</v>
      </c>
    </row>
    <row r="7" spans="1:31" ht="17.100000000000001" customHeight="1" x14ac:dyDescent="0.2">
      <c r="A7" s="10" t="s">
        <v>34</v>
      </c>
      <c r="B7" s="30">
        <v>750</v>
      </c>
      <c r="C7" s="58">
        <f t="shared" si="10"/>
        <v>25</v>
      </c>
      <c r="D7" s="73">
        <v>105.30000000000005</v>
      </c>
      <c r="E7" s="58">
        <f t="shared" si="16"/>
        <v>3.510000000000002</v>
      </c>
      <c r="F7" s="75">
        <v>31.65</v>
      </c>
      <c r="G7" s="60">
        <f t="shared" si="11"/>
        <v>1.0549999999999999</v>
      </c>
      <c r="H7" s="75">
        <v>20.5</v>
      </c>
      <c r="I7" s="58">
        <f t="shared" si="12"/>
        <v>0.68333333333333335</v>
      </c>
      <c r="J7" s="31"/>
      <c r="K7" s="31"/>
      <c r="L7" s="33">
        <f t="shared" si="17"/>
        <v>907.45</v>
      </c>
      <c r="M7" s="31">
        <f t="shared" si="18"/>
        <v>12600</v>
      </c>
      <c r="N7" s="70">
        <v>12600</v>
      </c>
      <c r="O7" s="71">
        <f t="shared" si="19"/>
        <v>0</v>
      </c>
      <c r="P7" s="71">
        <f t="shared" si="20"/>
        <v>907.45</v>
      </c>
      <c r="Q7" s="70">
        <f t="shared" si="21"/>
        <v>12600</v>
      </c>
      <c r="S7" s="30">
        <v>857.14285700000005</v>
      </c>
      <c r="T7" s="58">
        <f t="shared" si="6"/>
        <v>28.571428566666668</v>
      </c>
      <c r="U7" s="58" t="e">
        <f>+#REF!/30</f>
        <v>#REF!</v>
      </c>
      <c r="V7" s="75">
        <v>30</v>
      </c>
      <c r="W7" s="60">
        <f t="shared" si="7"/>
        <v>1</v>
      </c>
      <c r="X7" s="75">
        <v>20</v>
      </c>
      <c r="Y7" s="58">
        <f t="shared" si="15"/>
        <v>0.66666666666666663</v>
      </c>
      <c r="Z7" s="31"/>
      <c r="AA7" s="31"/>
      <c r="AB7" s="33">
        <f t="shared" ref="AB7:AB19" si="22">+S7+V7+X7</f>
        <v>907.14285700000005</v>
      </c>
      <c r="AC7" s="31">
        <f t="shared" ref="AC7:AC19" si="23">(S7*14)+((V7+X7)*12)</f>
        <v>12599.999998000001</v>
      </c>
    </row>
    <row r="8" spans="1:31" ht="17.100000000000001" customHeight="1" x14ac:dyDescent="0.2">
      <c r="A8" s="10" t="s">
        <v>24</v>
      </c>
      <c r="B8" s="30">
        <v>750</v>
      </c>
      <c r="C8" s="58">
        <f t="shared" si="10"/>
        <v>25</v>
      </c>
      <c r="D8" s="73">
        <v>105.30000000000005</v>
      </c>
      <c r="E8" s="58">
        <f t="shared" si="16"/>
        <v>3.510000000000002</v>
      </c>
      <c r="F8" s="75">
        <v>31.65</v>
      </c>
      <c r="G8" s="60">
        <f t="shared" si="11"/>
        <v>1.0549999999999999</v>
      </c>
      <c r="H8" s="75">
        <v>20.5</v>
      </c>
      <c r="I8" s="58">
        <f t="shared" si="12"/>
        <v>0.68333333333333335</v>
      </c>
      <c r="J8" s="31"/>
      <c r="K8" s="31"/>
      <c r="L8" s="33">
        <f t="shared" si="17"/>
        <v>907.45</v>
      </c>
      <c r="M8" s="31">
        <f t="shared" si="18"/>
        <v>12600</v>
      </c>
      <c r="N8" s="70">
        <v>12600</v>
      </c>
      <c r="O8" s="71">
        <f t="shared" si="19"/>
        <v>0</v>
      </c>
      <c r="P8" s="71">
        <f t="shared" si="20"/>
        <v>907.45</v>
      </c>
      <c r="Q8" s="70">
        <f t="shared" si="21"/>
        <v>12600</v>
      </c>
      <c r="S8" s="30">
        <v>857.14285700000005</v>
      </c>
      <c r="T8" s="58">
        <f t="shared" si="6"/>
        <v>28.571428566666668</v>
      </c>
      <c r="U8" s="58" t="e">
        <f>+#REF!/30</f>
        <v>#REF!</v>
      </c>
      <c r="V8" s="75">
        <v>30</v>
      </c>
      <c r="W8" s="60">
        <f t="shared" si="7"/>
        <v>1</v>
      </c>
      <c r="X8" s="75">
        <v>20</v>
      </c>
      <c r="Y8" s="58">
        <f t="shared" si="15"/>
        <v>0.66666666666666663</v>
      </c>
      <c r="Z8" s="31"/>
      <c r="AA8" s="31"/>
      <c r="AB8" s="33">
        <f t="shared" si="22"/>
        <v>907.14285700000005</v>
      </c>
      <c r="AC8" s="31">
        <f t="shared" si="23"/>
        <v>12599.999998000001</v>
      </c>
    </row>
    <row r="9" spans="1:31" ht="17.100000000000001" customHeight="1" x14ac:dyDescent="0.2">
      <c r="A9" s="10" t="s">
        <v>26</v>
      </c>
      <c r="B9" s="30">
        <v>750</v>
      </c>
      <c r="C9" s="58">
        <f t="shared" si="10"/>
        <v>25</v>
      </c>
      <c r="D9" s="73">
        <v>16.422857142857147</v>
      </c>
      <c r="E9" s="58">
        <f t="shared" si="16"/>
        <v>0.5474285714285716</v>
      </c>
      <c r="F9" s="30">
        <v>42</v>
      </c>
      <c r="G9" s="60">
        <f t="shared" si="11"/>
        <v>1.4</v>
      </c>
      <c r="H9" s="31">
        <v>22</v>
      </c>
      <c r="I9" s="58">
        <f t="shared" si="12"/>
        <v>0.73333333333333328</v>
      </c>
      <c r="J9" s="31">
        <v>78.72</v>
      </c>
      <c r="K9" s="58">
        <f>J9/30</f>
        <v>2.6240000000000001</v>
      </c>
      <c r="L9" s="33">
        <f t="shared" si="17"/>
        <v>909.14285714285722</v>
      </c>
      <c r="M9" s="31">
        <f t="shared" si="18"/>
        <v>12600.000000000002</v>
      </c>
      <c r="N9" s="70">
        <v>12600</v>
      </c>
      <c r="O9" s="71">
        <f t="shared" si="19"/>
        <v>0</v>
      </c>
      <c r="P9" s="71">
        <f t="shared" si="20"/>
        <v>909.14285714285722</v>
      </c>
      <c r="Q9" s="70">
        <f t="shared" si="21"/>
        <v>12600.000000000002</v>
      </c>
      <c r="S9" s="30">
        <v>857.14285700000005</v>
      </c>
      <c r="T9" s="58">
        <f t="shared" si="6"/>
        <v>28.571428566666668</v>
      </c>
      <c r="U9" s="58" t="e">
        <f>+#REF!/30</f>
        <v>#REF!</v>
      </c>
      <c r="V9" s="30">
        <v>40</v>
      </c>
      <c r="W9" s="60">
        <f t="shared" si="7"/>
        <v>1.3333333333333333</v>
      </c>
      <c r="X9" s="31">
        <v>20</v>
      </c>
      <c r="Y9" s="58">
        <f t="shared" si="15"/>
        <v>0.66666666666666663</v>
      </c>
      <c r="Z9" s="31">
        <v>92.08</v>
      </c>
      <c r="AA9" s="58">
        <f>Z9/30</f>
        <v>3.0693333333333332</v>
      </c>
      <c r="AB9" s="33">
        <f t="shared" si="22"/>
        <v>917.14285700000005</v>
      </c>
      <c r="AC9" s="31">
        <f>((S9+Z9)*14)+((V9+X9)*12)</f>
        <v>14009.119998000002</v>
      </c>
      <c r="AD9" s="77" t="e">
        <f>+(AC9/#REF!)-1</f>
        <v>#REF!</v>
      </c>
      <c r="AE9" s="57" t="e">
        <f>+AD9-AC9</f>
        <v>#REF!</v>
      </c>
    </row>
    <row r="10" spans="1:31" ht="17.100000000000001" customHeight="1" x14ac:dyDescent="0.2">
      <c r="A10" s="10" t="s">
        <v>71</v>
      </c>
      <c r="B10" s="30">
        <v>750</v>
      </c>
      <c r="C10" s="58">
        <f t="shared" si="10"/>
        <v>25</v>
      </c>
      <c r="D10" s="73">
        <v>105.30000000000005</v>
      </c>
      <c r="E10" s="58">
        <f t="shared" si="16"/>
        <v>3.510000000000002</v>
      </c>
      <c r="F10" s="75">
        <v>31.65</v>
      </c>
      <c r="G10" s="60">
        <f t="shared" si="11"/>
        <v>1.0549999999999999</v>
      </c>
      <c r="H10" s="75">
        <v>20.5</v>
      </c>
      <c r="I10" s="58">
        <f t="shared" si="12"/>
        <v>0.68333333333333335</v>
      </c>
      <c r="J10" s="31"/>
      <c r="K10" s="31"/>
      <c r="L10" s="33">
        <f t="shared" si="17"/>
        <v>907.45</v>
      </c>
      <c r="M10" s="31">
        <f t="shared" si="18"/>
        <v>12600</v>
      </c>
      <c r="N10" s="70">
        <v>12600</v>
      </c>
      <c r="O10" s="71">
        <f t="shared" si="19"/>
        <v>0</v>
      </c>
      <c r="P10" s="71">
        <f t="shared" si="20"/>
        <v>907.45</v>
      </c>
      <c r="Q10" s="70">
        <f t="shared" si="21"/>
        <v>12600</v>
      </c>
      <c r="S10" s="30">
        <v>857.14285700000005</v>
      </c>
      <c r="T10" s="58">
        <f t="shared" si="6"/>
        <v>28.571428566666668</v>
      </c>
      <c r="U10" s="58" t="e">
        <f>+#REF!/30</f>
        <v>#REF!</v>
      </c>
      <c r="V10" s="75">
        <v>30</v>
      </c>
      <c r="W10" s="60">
        <f t="shared" si="7"/>
        <v>1</v>
      </c>
      <c r="X10" s="75">
        <v>20</v>
      </c>
      <c r="Y10" s="58">
        <f t="shared" si="15"/>
        <v>0.66666666666666663</v>
      </c>
      <c r="Z10" s="31"/>
      <c r="AA10" s="31"/>
      <c r="AB10" s="33">
        <f t="shared" si="22"/>
        <v>907.14285700000005</v>
      </c>
      <c r="AC10" s="31">
        <f t="shared" si="23"/>
        <v>12599.999998000001</v>
      </c>
      <c r="AE10" s="57" t="e">
        <f>+AE9/14</f>
        <v>#REF!</v>
      </c>
    </row>
    <row r="11" spans="1:31" s="53" customFormat="1" ht="17.100000000000001" customHeight="1" x14ac:dyDescent="0.2">
      <c r="A11" s="10" t="s">
        <v>41</v>
      </c>
      <c r="B11" s="30">
        <v>750</v>
      </c>
      <c r="C11" s="58">
        <f t="shared" si="10"/>
        <v>25</v>
      </c>
      <c r="D11" s="73">
        <v>105.30000000000005</v>
      </c>
      <c r="E11" s="58">
        <f t="shared" si="16"/>
        <v>3.510000000000002</v>
      </c>
      <c r="F11" s="75">
        <v>31.65</v>
      </c>
      <c r="G11" s="60">
        <f t="shared" si="11"/>
        <v>1.0549999999999999</v>
      </c>
      <c r="H11" s="75">
        <v>20.5</v>
      </c>
      <c r="I11" s="58">
        <f t="shared" si="12"/>
        <v>0.68333333333333335</v>
      </c>
      <c r="J11" s="31"/>
      <c r="K11" s="31"/>
      <c r="L11" s="33">
        <f t="shared" si="17"/>
        <v>907.45</v>
      </c>
      <c r="M11" s="31">
        <f t="shared" si="18"/>
        <v>12600</v>
      </c>
      <c r="N11" s="70">
        <v>12600</v>
      </c>
      <c r="O11" s="71">
        <f t="shared" si="19"/>
        <v>0</v>
      </c>
      <c r="P11" s="71">
        <f t="shared" si="20"/>
        <v>907.45</v>
      </c>
      <c r="Q11" s="70">
        <f t="shared" si="21"/>
        <v>12600</v>
      </c>
      <c r="S11" s="30">
        <v>857.14285700000005</v>
      </c>
      <c r="T11" s="58">
        <f t="shared" si="6"/>
        <v>28.571428566666668</v>
      </c>
      <c r="U11" s="58" t="e">
        <f>+#REF!/30</f>
        <v>#REF!</v>
      </c>
      <c r="V11" s="75">
        <v>30</v>
      </c>
      <c r="W11" s="60">
        <f t="shared" si="7"/>
        <v>1</v>
      </c>
      <c r="X11" s="75">
        <v>20</v>
      </c>
      <c r="Y11" s="58">
        <f t="shared" si="15"/>
        <v>0.66666666666666663</v>
      </c>
      <c r="Z11" s="31"/>
      <c r="AA11" s="31"/>
      <c r="AB11" s="33">
        <f t="shared" si="22"/>
        <v>907.14285700000005</v>
      </c>
      <c r="AC11" s="31">
        <f t="shared" si="23"/>
        <v>12599.999998000001</v>
      </c>
      <c r="AE11" s="64" t="e">
        <f>+AE10+Z9</f>
        <v>#REF!</v>
      </c>
    </row>
    <row r="12" spans="1:31" ht="17.100000000000001" hidden="1" customHeight="1" x14ac:dyDescent="0.2">
      <c r="A12" s="10" t="s">
        <v>58</v>
      </c>
      <c r="B12" s="30">
        <v>1085.28</v>
      </c>
      <c r="C12" s="58">
        <f t="shared" si="10"/>
        <v>36.176000000000002</v>
      </c>
      <c r="D12" s="73">
        <v>-185.28</v>
      </c>
      <c r="E12" s="58">
        <f t="shared" si="16"/>
        <v>-6.1760000000000002</v>
      </c>
      <c r="F12" s="75">
        <v>0</v>
      </c>
      <c r="G12" s="60">
        <f t="shared" si="11"/>
        <v>0</v>
      </c>
      <c r="H12" s="75">
        <v>0</v>
      </c>
      <c r="I12" s="58">
        <f t="shared" si="12"/>
        <v>0</v>
      </c>
      <c r="J12" s="30"/>
      <c r="K12" s="30"/>
      <c r="L12" s="39">
        <f t="shared" si="17"/>
        <v>900</v>
      </c>
      <c r="M12" s="30">
        <f t="shared" si="18"/>
        <v>12600</v>
      </c>
      <c r="N12" s="70">
        <v>12600</v>
      </c>
      <c r="O12" s="71">
        <f t="shared" si="19"/>
        <v>0</v>
      </c>
      <c r="P12" s="71">
        <f t="shared" si="20"/>
        <v>900</v>
      </c>
      <c r="Q12" s="70">
        <f t="shared" si="21"/>
        <v>12600</v>
      </c>
      <c r="S12" s="30">
        <v>857.14285700000005</v>
      </c>
      <c r="T12" s="58">
        <f t="shared" si="6"/>
        <v>28.571428566666668</v>
      </c>
      <c r="U12" s="58" t="e">
        <f>+#REF!/30</f>
        <v>#REF!</v>
      </c>
      <c r="V12" s="75">
        <v>0</v>
      </c>
      <c r="W12" s="60">
        <f t="shared" si="7"/>
        <v>0</v>
      </c>
      <c r="X12" s="75">
        <v>0</v>
      </c>
      <c r="Y12" s="58">
        <f t="shared" si="15"/>
        <v>0</v>
      </c>
      <c r="Z12" s="30"/>
      <c r="AA12" s="30"/>
      <c r="AB12" s="33">
        <f t="shared" si="22"/>
        <v>857.14285700000005</v>
      </c>
      <c r="AC12" s="31">
        <f t="shared" si="23"/>
        <v>11999.999998000001</v>
      </c>
    </row>
    <row r="13" spans="1:31" ht="17.100000000000001" customHeight="1" x14ac:dyDescent="0.2">
      <c r="A13" s="10" t="s">
        <v>42</v>
      </c>
      <c r="B13" s="30">
        <v>750</v>
      </c>
      <c r="C13" s="58">
        <f t="shared" si="10"/>
        <v>25</v>
      </c>
      <c r="D13" s="73">
        <v>105.30000000000005</v>
      </c>
      <c r="E13" s="58">
        <f t="shared" si="16"/>
        <v>3.510000000000002</v>
      </c>
      <c r="F13" s="75">
        <v>31.65</v>
      </c>
      <c r="G13" s="60">
        <f t="shared" si="11"/>
        <v>1.0549999999999999</v>
      </c>
      <c r="H13" s="75">
        <v>20.5</v>
      </c>
      <c r="I13" s="58">
        <f t="shared" si="12"/>
        <v>0.68333333333333335</v>
      </c>
      <c r="J13" s="30"/>
      <c r="K13" s="30"/>
      <c r="L13" s="39">
        <f t="shared" si="17"/>
        <v>907.45</v>
      </c>
      <c r="M13" s="30">
        <f t="shared" si="18"/>
        <v>12600</v>
      </c>
      <c r="N13" s="70">
        <v>12600</v>
      </c>
      <c r="O13" s="71">
        <f t="shared" si="19"/>
        <v>0</v>
      </c>
      <c r="P13" s="71">
        <f t="shared" si="20"/>
        <v>907.45</v>
      </c>
      <c r="Q13" s="70">
        <f t="shared" si="21"/>
        <v>12600</v>
      </c>
      <c r="S13" s="30">
        <v>857.14285700000005</v>
      </c>
      <c r="T13" s="58">
        <f t="shared" si="6"/>
        <v>28.571428566666668</v>
      </c>
      <c r="U13" s="58" t="e">
        <f>+#REF!/30</f>
        <v>#REF!</v>
      </c>
      <c r="V13" s="75">
        <v>30</v>
      </c>
      <c r="W13" s="60">
        <f t="shared" si="7"/>
        <v>1</v>
      </c>
      <c r="X13" s="75">
        <v>20</v>
      </c>
      <c r="Y13" s="58">
        <f t="shared" si="15"/>
        <v>0.66666666666666663</v>
      </c>
      <c r="Z13" s="30"/>
      <c r="AA13" s="30"/>
      <c r="AB13" s="33">
        <f t="shared" si="22"/>
        <v>907.14285700000005</v>
      </c>
      <c r="AC13" s="31">
        <f t="shared" si="23"/>
        <v>12599.999998000001</v>
      </c>
    </row>
    <row r="14" spans="1:31" s="53" customFormat="1" ht="17.100000000000001" hidden="1" customHeight="1" x14ac:dyDescent="0.2">
      <c r="A14" s="10" t="s">
        <v>57</v>
      </c>
      <c r="B14" s="30">
        <v>1047.3</v>
      </c>
      <c r="C14" s="38"/>
      <c r="D14" s="30">
        <v>-147.29999999999993</v>
      </c>
      <c r="E14" s="38">
        <f t="shared" si="16"/>
        <v>-4.9099999999999975</v>
      </c>
      <c r="F14" s="75">
        <v>0</v>
      </c>
      <c r="G14" s="59"/>
      <c r="H14" s="75">
        <v>0</v>
      </c>
      <c r="I14" s="59"/>
      <c r="J14" s="30"/>
      <c r="K14" s="30"/>
      <c r="L14" s="39">
        <f t="shared" si="17"/>
        <v>900</v>
      </c>
      <c r="M14" s="30">
        <f t="shared" si="18"/>
        <v>12600</v>
      </c>
      <c r="N14" s="70">
        <v>12600</v>
      </c>
      <c r="O14" s="71">
        <f t="shared" si="19"/>
        <v>0</v>
      </c>
      <c r="P14" s="72"/>
      <c r="Q14" s="72"/>
      <c r="S14" s="30">
        <v>857.14285700000005</v>
      </c>
      <c r="T14" s="38"/>
      <c r="U14" s="38" t="e">
        <f>+#REF!/30</f>
        <v>#REF!</v>
      </c>
      <c r="V14" s="75">
        <v>0</v>
      </c>
      <c r="W14" s="59"/>
      <c r="X14" s="75">
        <v>0</v>
      </c>
      <c r="Y14" s="59"/>
      <c r="Z14" s="30"/>
      <c r="AA14" s="30"/>
      <c r="AB14" s="33">
        <f t="shared" si="22"/>
        <v>857.14285700000005</v>
      </c>
      <c r="AC14" s="31">
        <f t="shared" si="23"/>
        <v>11999.999998000001</v>
      </c>
    </row>
    <row r="15" spans="1:31" s="53" customFormat="1" ht="17.100000000000001" hidden="1" customHeight="1" x14ac:dyDescent="0.2">
      <c r="A15" s="10" t="s">
        <v>54</v>
      </c>
      <c r="B15" s="30">
        <v>760.35</v>
      </c>
      <c r="C15" s="38"/>
      <c r="D15" s="30">
        <v>84.199999999999946</v>
      </c>
      <c r="E15" s="38">
        <f t="shared" si="16"/>
        <v>2.8066666666666649</v>
      </c>
      <c r="F15" s="75">
        <v>0</v>
      </c>
      <c r="G15" s="59"/>
      <c r="H15" s="75">
        <v>0</v>
      </c>
      <c r="I15" s="59"/>
      <c r="J15" s="30">
        <v>55.45</v>
      </c>
      <c r="K15" s="30"/>
      <c r="L15" s="39">
        <f t="shared" si="17"/>
        <v>900</v>
      </c>
      <c r="M15" s="30">
        <f t="shared" si="18"/>
        <v>12600</v>
      </c>
      <c r="N15" s="70">
        <v>12600</v>
      </c>
      <c r="O15" s="71">
        <f t="shared" si="19"/>
        <v>0</v>
      </c>
      <c r="P15" s="72"/>
      <c r="Q15" s="72"/>
      <c r="S15" s="30">
        <v>857.14285700000005</v>
      </c>
      <c r="T15" s="38"/>
      <c r="U15" s="38" t="e">
        <f>+#REF!/30</f>
        <v>#REF!</v>
      </c>
      <c r="V15" s="75">
        <v>0</v>
      </c>
      <c r="W15" s="59"/>
      <c r="X15" s="75">
        <v>0</v>
      </c>
      <c r="Y15" s="59"/>
      <c r="Z15" s="30">
        <v>55.45</v>
      </c>
      <c r="AA15" s="30"/>
      <c r="AB15" s="33">
        <f t="shared" si="22"/>
        <v>857.14285700000005</v>
      </c>
      <c r="AC15" s="31">
        <f t="shared" si="23"/>
        <v>11999.999998000001</v>
      </c>
    </row>
    <row r="16" spans="1:31" s="53" customFormat="1" ht="17.100000000000001" customHeight="1" x14ac:dyDescent="0.2">
      <c r="A16" s="10" t="s">
        <v>25</v>
      </c>
      <c r="B16" s="30">
        <v>750</v>
      </c>
      <c r="C16" s="58">
        <f>B16/30</f>
        <v>25</v>
      </c>
      <c r="D16" s="73">
        <v>105.30000000000005</v>
      </c>
      <c r="E16" s="58">
        <f t="shared" si="16"/>
        <v>3.510000000000002</v>
      </c>
      <c r="F16" s="75">
        <v>31.65</v>
      </c>
      <c r="G16" s="60">
        <f>F16/30</f>
        <v>1.0549999999999999</v>
      </c>
      <c r="H16" s="75">
        <v>20.5</v>
      </c>
      <c r="I16" s="58">
        <f t="shared" ref="I16:I20" si="24">H16/30</f>
        <v>0.68333333333333335</v>
      </c>
      <c r="J16" s="31"/>
      <c r="K16" s="31"/>
      <c r="L16" s="33">
        <f t="shared" si="17"/>
        <v>907.45</v>
      </c>
      <c r="M16" s="31">
        <f t="shared" si="18"/>
        <v>12600</v>
      </c>
      <c r="N16" s="70">
        <v>12600</v>
      </c>
      <c r="O16" s="71">
        <f t="shared" si="19"/>
        <v>0</v>
      </c>
      <c r="P16" s="72">
        <f t="shared" ref="P16:P19" si="25">+B16+D16+F16+H16+J16</f>
        <v>907.45</v>
      </c>
      <c r="Q16" s="72">
        <f t="shared" ref="Q16:Q19" si="26">((B16+D16+J16)*14+(F16+H16)*12)</f>
        <v>12600</v>
      </c>
      <c r="S16" s="30">
        <v>857.14285700000005</v>
      </c>
      <c r="T16" s="58">
        <f>S16/30</f>
        <v>28.571428566666668</v>
      </c>
      <c r="U16" s="58" t="e">
        <f>+#REF!/30</f>
        <v>#REF!</v>
      </c>
      <c r="V16" s="75">
        <v>30</v>
      </c>
      <c r="W16" s="60">
        <f>V16/30</f>
        <v>1</v>
      </c>
      <c r="X16" s="75">
        <v>20</v>
      </c>
      <c r="Y16" s="58">
        <f t="shared" ref="Y16:Y20" si="27">X16/30</f>
        <v>0.66666666666666663</v>
      </c>
      <c r="Z16" s="31"/>
      <c r="AA16" s="31"/>
      <c r="AB16" s="33">
        <f t="shared" si="22"/>
        <v>907.14285700000005</v>
      </c>
      <c r="AC16" s="31">
        <f t="shared" si="23"/>
        <v>12599.999998000001</v>
      </c>
    </row>
    <row r="17" spans="1:30" s="53" customFormat="1" ht="17.100000000000001" hidden="1" customHeight="1" x14ac:dyDescent="0.2">
      <c r="A17" s="10" t="s">
        <v>61</v>
      </c>
      <c r="B17" s="30">
        <v>714.15</v>
      </c>
      <c r="C17" s="59">
        <f>B17/30</f>
        <v>23.805</v>
      </c>
      <c r="D17" s="73">
        <v>112.48714285714284</v>
      </c>
      <c r="E17" s="59">
        <f t="shared" si="16"/>
        <v>3.7495714285714281</v>
      </c>
      <c r="F17" s="30">
        <v>57.83</v>
      </c>
      <c r="G17" s="59">
        <f>F17/30</f>
        <v>1.9276666666666666</v>
      </c>
      <c r="H17" s="30">
        <v>27.76</v>
      </c>
      <c r="I17" s="58">
        <f t="shared" si="24"/>
        <v>0.92533333333333334</v>
      </c>
      <c r="J17" s="30"/>
      <c r="K17" s="30"/>
      <c r="L17" s="39">
        <f t="shared" si="17"/>
        <v>912.22714285714289</v>
      </c>
      <c r="M17" s="30">
        <f t="shared" si="18"/>
        <v>12600</v>
      </c>
      <c r="N17" s="70">
        <v>12600</v>
      </c>
      <c r="O17" s="71">
        <f t="shared" si="19"/>
        <v>0</v>
      </c>
      <c r="P17" s="72">
        <f t="shared" si="25"/>
        <v>912.22714285714289</v>
      </c>
      <c r="Q17" s="72">
        <f t="shared" si="26"/>
        <v>12600</v>
      </c>
      <c r="S17" s="30">
        <v>857.14285700000005</v>
      </c>
      <c r="T17" s="59">
        <f>S17/30</f>
        <v>28.571428566666668</v>
      </c>
      <c r="U17" s="59" t="e">
        <f>+#REF!/30</f>
        <v>#REF!</v>
      </c>
      <c r="V17" s="30">
        <v>57.83</v>
      </c>
      <c r="W17" s="59">
        <f>V17/30</f>
        <v>1.9276666666666666</v>
      </c>
      <c r="X17" s="30">
        <v>27.76</v>
      </c>
      <c r="Y17" s="58">
        <f t="shared" si="27"/>
        <v>0.92533333333333334</v>
      </c>
      <c r="Z17" s="30"/>
      <c r="AA17" s="30"/>
      <c r="AB17" s="33">
        <f t="shared" si="22"/>
        <v>942.73285700000008</v>
      </c>
      <c r="AC17" s="31">
        <f t="shared" si="23"/>
        <v>13027.079998000001</v>
      </c>
    </row>
    <row r="18" spans="1:30" s="53" customFormat="1" ht="17.100000000000001" customHeight="1" x14ac:dyDescent="0.2">
      <c r="A18" s="10" t="s">
        <v>73</v>
      </c>
      <c r="B18" s="30">
        <v>750</v>
      </c>
      <c r="C18" s="58">
        <f>B18/30</f>
        <v>25</v>
      </c>
      <c r="D18" s="73">
        <v>118.74000000000004</v>
      </c>
      <c r="E18" s="58">
        <f t="shared" si="16"/>
        <v>3.9580000000000011</v>
      </c>
      <c r="F18" s="30">
        <v>36.47</v>
      </c>
      <c r="G18" s="60">
        <f>F18/30</f>
        <v>1.2156666666666667</v>
      </c>
      <c r="H18" s="31">
        <v>0</v>
      </c>
      <c r="I18" s="58">
        <f t="shared" si="24"/>
        <v>0</v>
      </c>
      <c r="J18" s="31"/>
      <c r="K18" s="31"/>
      <c r="L18" s="33">
        <f t="shared" si="17"/>
        <v>905.21</v>
      </c>
      <c r="M18" s="31">
        <f t="shared" si="18"/>
        <v>12600</v>
      </c>
      <c r="N18" s="70">
        <v>12600</v>
      </c>
      <c r="O18" s="71">
        <f t="shared" si="19"/>
        <v>0</v>
      </c>
      <c r="P18" s="72">
        <f t="shared" si="25"/>
        <v>905.21</v>
      </c>
      <c r="Q18" s="72">
        <f t="shared" si="26"/>
        <v>12600</v>
      </c>
      <c r="S18" s="30">
        <v>857.14285700000005</v>
      </c>
      <c r="T18" s="58">
        <f>S18/30</f>
        <v>28.571428566666668</v>
      </c>
      <c r="U18" s="58" t="e">
        <f>+#REF!/30</f>
        <v>#REF!</v>
      </c>
      <c r="V18" s="30">
        <v>37</v>
      </c>
      <c r="W18" s="60">
        <f>V18/30</f>
        <v>1.2333333333333334</v>
      </c>
      <c r="X18" s="31">
        <v>13</v>
      </c>
      <c r="Y18" s="58">
        <f t="shared" si="27"/>
        <v>0.43333333333333335</v>
      </c>
      <c r="Z18" s="31"/>
      <c r="AA18" s="31"/>
      <c r="AB18" s="33">
        <f t="shared" si="22"/>
        <v>907.14285700000005</v>
      </c>
      <c r="AC18" s="31">
        <f t="shared" si="23"/>
        <v>12599.999998000001</v>
      </c>
      <c r="AD18" s="64">
        <f>+AC18-AC16</f>
        <v>0</v>
      </c>
    </row>
    <row r="19" spans="1:30" s="53" customFormat="1" ht="17.100000000000001" customHeight="1" x14ac:dyDescent="0.2">
      <c r="A19" s="10" t="s">
        <v>72</v>
      </c>
      <c r="B19" s="30">
        <v>750</v>
      </c>
      <c r="C19" s="58">
        <f>B19/30</f>
        <v>25</v>
      </c>
      <c r="D19" s="73">
        <v>105.30000000000005</v>
      </c>
      <c r="E19" s="58">
        <f t="shared" si="16"/>
        <v>3.510000000000002</v>
      </c>
      <c r="F19" s="75">
        <v>31.65</v>
      </c>
      <c r="G19" s="60">
        <f>F19/30</f>
        <v>1.0549999999999999</v>
      </c>
      <c r="H19" s="75">
        <v>20.5</v>
      </c>
      <c r="I19" s="58">
        <f t="shared" si="24"/>
        <v>0.68333333333333335</v>
      </c>
      <c r="J19" s="31"/>
      <c r="K19" s="31"/>
      <c r="L19" s="33">
        <f t="shared" si="17"/>
        <v>907.45</v>
      </c>
      <c r="M19" s="31">
        <f t="shared" si="18"/>
        <v>12600</v>
      </c>
      <c r="N19" s="70">
        <v>12600</v>
      </c>
      <c r="O19" s="71">
        <f t="shared" si="19"/>
        <v>0</v>
      </c>
      <c r="P19" s="72">
        <f t="shared" si="25"/>
        <v>907.45</v>
      </c>
      <c r="Q19" s="72">
        <f t="shared" si="26"/>
        <v>12600</v>
      </c>
      <c r="S19" s="30">
        <v>857.14285700000005</v>
      </c>
      <c r="T19" s="58">
        <f>S19/30</f>
        <v>28.571428566666668</v>
      </c>
      <c r="U19" s="58" t="e">
        <f>+#REF!/30</f>
        <v>#REF!</v>
      </c>
      <c r="V19" s="75">
        <v>30</v>
      </c>
      <c r="W19" s="60">
        <f>V19/30</f>
        <v>1</v>
      </c>
      <c r="X19" s="75">
        <v>20</v>
      </c>
      <c r="Y19" s="58">
        <f t="shared" si="27"/>
        <v>0.66666666666666663</v>
      </c>
      <c r="Z19" s="31"/>
      <c r="AA19" s="31"/>
      <c r="AB19" s="33">
        <f t="shared" si="22"/>
        <v>907.14285700000005</v>
      </c>
      <c r="AC19" s="31">
        <f t="shared" si="23"/>
        <v>12599.999998000001</v>
      </c>
      <c r="AD19" s="53">
        <f>+AD18/12</f>
        <v>0</v>
      </c>
    </row>
    <row r="20" spans="1:30" ht="17.100000000000001" hidden="1" customHeight="1" x14ac:dyDescent="0.2">
      <c r="A20" s="10" t="s">
        <v>60</v>
      </c>
      <c r="B20" s="30">
        <v>946.91</v>
      </c>
      <c r="C20" s="38"/>
      <c r="D20" s="30"/>
      <c r="E20" s="38"/>
      <c r="F20" s="30">
        <v>0</v>
      </c>
      <c r="G20" s="38"/>
      <c r="H20" s="30">
        <v>0</v>
      </c>
      <c r="I20" s="38">
        <f t="shared" si="24"/>
        <v>0</v>
      </c>
      <c r="J20" s="30"/>
      <c r="K20" s="30"/>
      <c r="L20" s="39">
        <f t="shared" si="13"/>
        <v>946.91</v>
      </c>
      <c r="M20" s="30">
        <f t="shared" si="14"/>
        <v>13256.74</v>
      </c>
      <c r="S20" s="30">
        <v>946.91</v>
      </c>
      <c r="T20" s="38"/>
      <c r="U20" s="38"/>
      <c r="V20" s="30">
        <v>0</v>
      </c>
      <c r="W20" s="38"/>
      <c r="X20" s="30">
        <v>0</v>
      </c>
      <c r="Y20" s="38">
        <f t="shared" si="27"/>
        <v>0</v>
      </c>
      <c r="Z20" s="30"/>
      <c r="AA20" s="30"/>
      <c r="AB20" s="39">
        <f>+Z20+X20+V20+S20</f>
        <v>946.91</v>
      </c>
      <c r="AC20" s="30">
        <f>((S20+Z20)*14)+((V20+X20)*12)</f>
        <v>13256.74</v>
      </c>
    </row>
    <row r="21" spans="1:30" ht="15" customHeight="1" x14ac:dyDescent="0.2">
      <c r="AD21" s="57">
        <f>-AD19+V18</f>
        <v>37</v>
      </c>
    </row>
    <row r="22" spans="1:30" ht="15" customHeight="1" x14ac:dyDescent="0.2">
      <c r="M22" s="57"/>
      <c r="V22" s="1">
        <f>+V9*12</f>
        <v>480</v>
      </c>
      <c r="X22" s="1">
        <f>+X9*12</f>
        <v>240</v>
      </c>
      <c r="AC22" s="57"/>
    </row>
    <row r="23" spans="1:30" x14ac:dyDescent="0.2">
      <c r="M23" s="57"/>
      <c r="AC23" s="57"/>
    </row>
    <row r="24" spans="1:30" x14ac:dyDescent="0.2">
      <c r="M24" s="57"/>
      <c r="AC24" s="57"/>
    </row>
    <row r="25" spans="1:30" x14ac:dyDescent="0.2">
      <c r="M25" s="57"/>
      <c r="AC25" s="57"/>
    </row>
    <row r="27" spans="1:30" x14ac:dyDescent="0.2">
      <c r="S27" s="76"/>
    </row>
    <row r="29" spans="1:30" x14ac:dyDescent="0.2">
      <c r="Z29" s="57"/>
    </row>
  </sheetData>
  <sheetProtection selectLockedCells="1" selectUnlockedCells="1"/>
  <autoFilter ref="A2:M20" xr:uid="{00000000-0009-0000-0000-000009000000}"/>
  <mergeCells count="3">
    <mergeCell ref="B1:M1"/>
    <mergeCell ref="S1:AC1"/>
    <mergeCell ref="P2:Q2"/>
  </mergeCells>
  <printOptions horizontalCentered="1"/>
  <pageMargins left="0.15748031496062992" right="0.15748031496062992" top="1.27" bottom="0.15748031496062992" header="0.49" footer="0.15748031496062992"/>
  <pageSetup paperSize="9" scale="89" orientation="landscape" r:id="rId1"/>
  <headerFooter alignWithMargins="0">
    <oddHeader>&amp;C&amp;"Calibri,Negrita"&amp;12&amp;ETABLA SALARIAL CONVENIO SERVICIOS SECURITAS, S.A. 2019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7C839FF97D6B428877A27E88F90F48" ma:contentTypeVersion="9" ma:contentTypeDescription="Crear nuevo documento." ma:contentTypeScope="" ma:versionID="1073bb124c445f31fc7904ef0945e8d4">
  <xsd:schema xmlns:xsd="http://www.w3.org/2001/XMLSchema" xmlns:xs="http://www.w3.org/2001/XMLSchema" xmlns:p="http://schemas.microsoft.com/office/2006/metadata/properties" xmlns:ns2="302d4b1b-ca3b-4587-b2dc-a795c69f673c" xmlns:ns3="d03fe321-27bd-4fda-b040-15d1713c4bd3" targetNamespace="http://schemas.microsoft.com/office/2006/metadata/properties" ma:root="true" ma:fieldsID="a19f40ebd5fde4f263be17b209c95133" ns2:_="" ns3:_="">
    <xsd:import namespace="302d4b1b-ca3b-4587-b2dc-a795c69f673c"/>
    <xsd:import namespace="d03fe321-27bd-4fda-b040-15d1713c4bd3"/>
    <xsd:element name="properties">
      <xsd:complexType>
        <xsd:sequence>
          <xsd:element name="documentManagement">
            <xsd:complexType>
              <xsd:all>
                <xsd:element ref="ns2:Observacione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4b1b-ca3b-4587-b2dc-a795c69f673c" elementFormDefault="qualified">
    <xsd:import namespace="http://schemas.microsoft.com/office/2006/documentManagement/types"/>
    <xsd:import namespace="http://schemas.microsoft.com/office/infopath/2007/PartnerControls"/>
    <xsd:element name="Observaciones" ma:index="1" nillable="true" ma:displayName="Descripcion" ma:internalName="Observaciones">
      <xsd:simpleType>
        <xsd:restriction base="dms:Note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fe321-27bd-4fda-b040-15d1713c4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i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ones xmlns="302d4b1b-ca3b-4587-b2dc-a795c69f67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C72DA-33F2-40F6-A2C0-2169E5DBD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d4b1b-ca3b-4587-b2dc-a795c69f673c"/>
    <ds:schemaRef ds:uri="d03fe321-27bd-4fda-b040-15d1713c4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18ADE3-1048-43E0-8C6D-989839C43FC4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d03fe321-27bd-4fda-b040-15d1713c4bd3"/>
    <ds:schemaRef ds:uri="http://schemas.microsoft.com/office/infopath/2007/PartnerControls"/>
    <ds:schemaRef ds:uri="http://schemas.openxmlformats.org/package/2006/metadata/core-properties"/>
    <ds:schemaRef ds:uri="302d4b1b-ca3b-4587-b2dc-a795c69f673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4DCCA0-F3E7-460E-9C5F-AE1A21AE42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SERVISECURITAS 2019 PREVIO</vt:lpstr>
      <vt:lpstr>Hoja1</vt:lpstr>
      <vt:lpstr>2024</vt:lpstr>
      <vt:lpstr>SERVI 2019 CALCULOS VJP</vt:lpstr>
    </vt:vector>
  </TitlesOfParts>
  <Company>Securitas Seguridad España,S.A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Lorena Romero Martín</cp:lastModifiedBy>
  <cp:lastPrinted>2024-01-04T11:32:03Z</cp:lastPrinted>
  <dcterms:created xsi:type="dcterms:W3CDTF">2007-01-10T17:38:55Z</dcterms:created>
  <dcterms:modified xsi:type="dcterms:W3CDTF">2024-07-15T10:22:42Z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0x0101002D7C839FF97D6B428877A27E88F90F48</vt:lpwstr>
  </property>
</Properties>
</file>