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C\CLIENTES\Impulsa\Museo de las ciencas\"/>
    </mc:Choice>
  </mc:AlternateContent>
  <xr:revisionPtr revIDLastSave="0" documentId="13_ncr:1_{F71BAF2D-248D-41AE-A94A-E2797E42BDC0}" xr6:coauthVersionLast="41" xr6:coauthVersionMax="41" xr10:uidLastSave="{00000000-0000-0000-0000-000000000000}"/>
  <bookViews>
    <workbookView xWindow="-120" yWindow="-120" windowWidth="29040" windowHeight="15840" firstSheet="9" activeTab="14" xr2:uid="{00000000-000D-0000-FFFF-FFFF00000000}"/>
  </bookViews>
  <sheets>
    <sheet name="SERVISECURITAS 2007" sheetId="1" r:id="rId1"/>
    <sheet name="SERVISECURITAS 2008" sheetId="2" r:id="rId2"/>
    <sheet name="SERVISECURITAS 2009" sheetId="3" r:id="rId3"/>
    <sheet name="SERVISECURITAS 2010" sheetId="4" r:id="rId4"/>
    <sheet name="SERVISECURITAS 2011" sheetId="5" r:id="rId5"/>
    <sheet name="SERVISECURITAS 2013" sheetId="6" r:id="rId6"/>
    <sheet name="SERVISECURITAS 2015" sheetId="7" r:id="rId7"/>
    <sheet name="SERVISECURITAS 2016-1ER TRIM 17" sheetId="8" r:id="rId8"/>
    <sheet name="SERVISEC 2017 A PARTIR 01-04" sheetId="9" r:id="rId9"/>
    <sheet name="SERVISECURITAS 2018" sheetId="10" r:id="rId10"/>
    <sheet name="SERVISECURITAS 2019 PREVIO" sheetId="11" state="hidden" r:id="rId11"/>
    <sheet name="SERVISECURITAS 2019" sheetId="14" r:id="rId12"/>
    <sheet name="SERVISECURITAS 2019 (2)" sheetId="16" r:id="rId13"/>
    <sheet name="Hoja1" sheetId="17" state="hidden" r:id="rId14"/>
    <sheet name="SERVISECURITAS 2020" sheetId="18" r:id="rId15"/>
    <sheet name="SERVI 2019 CALCULOS VJP" sheetId="12" state="hidden" r:id="rId16"/>
  </sheets>
  <definedNames>
    <definedName name="_xlnm._FilterDatabase" localSheetId="15" hidden="1">'SERVI 2019 CALCULOS VJP'!$A$2:$M$20</definedName>
    <definedName name="_xlnm._FilterDatabase" localSheetId="8" hidden="1">'SERVISEC 2017 A PARTIR 01-04'!$A$1:$N$52</definedName>
    <definedName name="_xlnm._FilterDatabase" localSheetId="6" hidden="1">'SERVISECURITAS 2015'!$A$1:$AB$47</definedName>
    <definedName name="_xlnm._FilterDatabase" localSheetId="7" hidden="1">'SERVISECURITAS 2016-1ER TRIM 17'!$A$1:$AB$47</definedName>
    <definedName name="_xlnm._FilterDatabase" localSheetId="9" hidden="1">'SERVISECURITAS 2018'!$A$3:$N$53</definedName>
    <definedName name="_xlnm._FilterDatabase" localSheetId="11" hidden="1">'SERVISECURITAS 2019'!$A$3:$O$53</definedName>
    <definedName name="_xlnm._FilterDatabase" localSheetId="12" hidden="1">'SERVISECURITAS 2019 (2)'!$B$3:$P$51</definedName>
    <definedName name="_xlnm._FilterDatabase" localSheetId="10" hidden="1">'SERVISECURITAS 2019 PREVIO'!$A$3:$P$53</definedName>
    <definedName name="_xlnm._FilterDatabase" localSheetId="14" hidden="1">'SERVISECURITAS 2020'!$B$3:$P$43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2" i="18" l="1"/>
  <c r="O42" i="18"/>
  <c r="P42" i="18" s="1"/>
  <c r="R42" i="18" s="1"/>
  <c r="G5" i="18"/>
  <c r="H5" i="18"/>
  <c r="J5" i="18"/>
  <c r="O5" i="18"/>
  <c r="P5" i="18"/>
  <c r="R5" i="18" s="1"/>
  <c r="G6" i="18"/>
  <c r="H6" i="18"/>
  <c r="J6" i="18"/>
  <c r="O6" i="18"/>
  <c r="P6" i="18"/>
  <c r="R6" i="18" s="1"/>
  <c r="G7" i="18"/>
  <c r="H7" i="18"/>
  <c r="J7" i="18"/>
  <c r="O7" i="18"/>
  <c r="P7" i="18"/>
  <c r="R7" i="18" s="1"/>
  <c r="G8" i="18"/>
  <c r="H8" i="18"/>
  <c r="J8" i="18"/>
  <c r="O8" i="18"/>
  <c r="P8" i="18"/>
  <c r="R8" i="18" s="1"/>
  <c r="G9" i="18"/>
  <c r="H9" i="18"/>
  <c r="J9" i="18"/>
  <c r="O9" i="18"/>
  <c r="P9" i="18"/>
  <c r="R9" i="18" s="1"/>
  <c r="G10" i="18"/>
  <c r="H10" i="18"/>
  <c r="J10" i="18"/>
  <c r="O10" i="18"/>
  <c r="P10" i="18"/>
  <c r="R10" i="18" s="1"/>
  <c r="G11" i="18"/>
  <c r="H11" i="18"/>
  <c r="J11" i="18"/>
  <c r="O11" i="18"/>
  <c r="P11" i="18"/>
  <c r="R11" i="18" s="1"/>
  <c r="G12" i="18"/>
  <c r="H12" i="18"/>
  <c r="J12" i="18"/>
  <c r="O12" i="18"/>
  <c r="P12" i="18"/>
  <c r="R12" i="18" s="1"/>
  <c r="G14" i="18"/>
  <c r="H14" i="18"/>
  <c r="J14" i="18"/>
  <c r="O14" i="18"/>
  <c r="P14" i="18"/>
  <c r="R14" i="18" s="1"/>
  <c r="G15" i="18"/>
  <c r="H15" i="18"/>
  <c r="J15" i="18"/>
  <c r="O15" i="18"/>
  <c r="P15" i="18"/>
  <c r="R15" i="18" s="1"/>
  <c r="G16" i="18"/>
  <c r="H16" i="18"/>
  <c r="J16" i="18"/>
  <c r="O16" i="18"/>
  <c r="P16" i="18"/>
  <c r="R16" i="18" s="1"/>
  <c r="G17" i="18"/>
  <c r="H17" i="18"/>
  <c r="J17" i="18"/>
  <c r="O17" i="18"/>
  <c r="P17" i="18"/>
  <c r="R17" i="18" s="1"/>
  <c r="G18" i="18"/>
  <c r="H18" i="18"/>
  <c r="J18" i="18"/>
  <c r="O18" i="18"/>
  <c r="P18" i="18"/>
  <c r="R18" i="18" s="1"/>
  <c r="S18" i="18"/>
  <c r="T18" i="18"/>
  <c r="G19" i="18"/>
  <c r="H19" i="18"/>
  <c r="J19" i="18"/>
  <c r="O19" i="18"/>
  <c r="P19" i="18"/>
  <c r="R19" i="18" s="1"/>
  <c r="S19" i="18"/>
  <c r="T19" i="18"/>
  <c r="G21" i="18"/>
  <c r="H21" i="18"/>
  <c r="J21" i="18"/>
  <c r="O21" i="18"/>
  <c r="P21" i="18"/>
  <c r="R21" i="18" s="1"/>
  <c r="G22" i="18"/>
  <c r="H22" i="18"/>
  <c r="J22" i="18"/>
  <c r="O22" i="18"/>
  <c r="P22" i="18"/>
  <c r="R22" i="18" s="1"/>
  <c r="G24" i="18"/>
  <c r="H24" i="18"/>
  <c r="J24" i="18"/>
  <c r="O24" i="18"/>
  <c r="P24" i="18"/>
  <c r="R24" i="18" s="1"/>
  <c r="G25" i="18"/>
  <c r="H25" i="18"/>
  <c r="J25" i="18"/>
  <c r="O25" i="18"/>
  <c r="P25" i="18"/>
  <c r="R25" i="18" s="1"/>
  <c r="G27" i="18"/>
  <c r="H27" i="18"/>
  <c r="L27" i="18"/>
  <c r="O27" i="18"/>
  <c r="P27" i="18"/>
  <c r="R27" i="18" s="1"/>
  <c r="S27" i="18"/>
  <c r="T27" i="18"/>
  <c r="G28" i="18"/>
  <c r="H28" i="18"/>
  <c r="L28" i="18"/>
  <c r="O28" i="18"/>
  <c r="P28" i="18"/>
  <c r="R28" i="18" s="1"/>
  <c r="S28" i="18"/>
  <c r="T28" i="18"/>
  <c r="G29" i="18"/>
  <c r="H29" i="18"/>
  <c r="L29" i="18"/>
  <c r="O29" i="18"/>
  <c r="P29" i="18"/>
  <c r="R29" i="18" s="1"/>
  <c r="S29" i="18"/>
  <c r="T29" i="18"/>
  <c r="G30" i="18"/>
  <c r="H30" i="18"/>
  <c r="L30" i="18"/>
  <c r="O30" i="18"/>
  <c r="P30" i="18"/>
  <c r="R30" i="18" s="1"/>
  <c r="S30" i="18"/>
  <c r="T30" i="18"/>
  <c r="G31" i="18"/>
  <c r="H31" i="18"/>
  <c r="L31" i="18"/>
  <c r="N31" i="18"/>
  <c r="O31" i="18"/>
  <c r="P31" i="18"/>
  <c r="R31" i="18" s="1"/>
  <c r="S31" i="18"/>
  <c r="T31" i="18"/>
  <c r="G32" i="18"/>
  <c r="H32" i="18"/>
  <c r="L32" i="18"/>
  <c r="O32" i="18"/>
  <c r="P32" i="18"/>
  <c r="R32" i="18" s="1"/>
  <c r="S32" i="18"/>
  <c r="T32" i="18"/>
  <c r="G33" i="18"/>
  <c r="H33" i="18"/>
  <c r="L33" i="18"/>
  <c r="O33" i="18"/>
  <c r="P33" i="18"/>
  <c r="R33" i="18" s="1"/>
  <c r="S33" i="18"/>
  <c r="T33" i="18"/>
  <c r="G34" i="18"/>
  <c r="H34" i="18"/>
  <c r="L34" i="18"/>
  <c r="O34" i="18"/>
  <c r="P34" i="18"/>
  <c r="R34" i="18" s="1"/>
  <c r="G35" i="18"/>
  <c r="H35" i="18"/>
  <c r="L35" i="18"/>
  <c r="O35" i="18"/>
  <c r="P35" i="18"/>
  <c r="R35" i="18" s="1"/>
  <c r="S35" i="18"/>
  <c r="T35" i="18"/>
  <c r="G36" i="18"/>
  <c r="H36" i="18"/>
  <c r="L36" i="18"/>
  <c r="O36" i="18"/>
  <c r="P36" i="18"/>
  <c r="R36" i="18" s="1"/>
  <c r="S36" i="18"/>
  <c r="T36" i="18"/>
  <c r="G37" i="18"/>
  <c r="H37" i="18"/>
  <c r="L37" i="18"/>
  <c r="O37" i="18"/>
  <c r="P37" i="18"/>
  <c r="R37" i="18" s="1"/>
  <c r="S37" i="18"/>
  <c r="T37" i="18"/>
  <c r="G38" i="18"/>
  <c r="J38" i="18"/>
  <c r="L38" i="18"/>
  <c r="O38" i="18"/>
  <c r="P38" i="18"/>
  <c r="G39" i="18"/>
  <c r="H39" i="18"/>
  <c r="L39" i="18"/>
  <c r="O39" i="18"/>
  <c r="P39" i="18"/>
  <c r="R39" i="18" s="1"/>
  <c r="S39" i="18"/>
  <c r="T39" i="18"/>
  <c r="H40" i="18"/>
  <c r="O40" i="18"/>
  <c r="P40" i="18"/>
  <c r="R40" i="18" s="1"/>
  <c r="L41" i="18"/>
  <c r="O41" i="18"/>
  <c r="P41" i="18"/>
  <c r="P38" i="16" l="1"/>
  <c r="O38" i="16"/>
  <c r="L38" i="16"/>
  <c r="J38" i="16"/>
  <c r="G38" i="16"/>
  <c r="Z37" i="16"/>
  <c r="AA37" i="16" s="1"/>
  <c r="W37" i="16"/>
  <c r="T37" i="16"/>
  <c r="S37" i="16"/>
  <c r="P37" i="16"/>
  <c r="R37" i="16" s="1"/>
  <c r="O37" i="16"/>
  <c r="L37" i="16"/>
  <c r="J37" i="16"/>
  <c r="H37" i="16"/>
  <c r="G37" i="16"/>
  <c r="Z35" i="16"/>
  <c r="AA35" i="16" s="1"/>
  <c r="W35" i="16"/>
  <c r="T35" i="16"/>
  <c r="S35" i="16"/>
  <c r="P35" i="16"/>
  <c r="R35" i="16" s="1"/>
  <c r="O35" i="16"/>
  <c r="L35" i="16"/>
  <c r="J35" i="16"/>
  <c r="H35" i="16"/>
  <c r="G35" i="16"/>
  <c r="Z36" i="16"/>
  <c r="AA36" i="16" s="1"/>
  <c r="W36" i="16"/>
  <c r="T36" i="16"/>
  <c r="S36" i="16"/>
  <c r="P36" i="16"/>
  <c r="R36" i="16" s="1"/>
  <c r="O36" i="16"/>
  <c r="L36" i="16"/>
  <c r="J36" i="16"/>
  <c r="H36" i="16"/>
  <c r="G36" i="16"/>
  <c r="Z34" i="16"/>
  <c r="AA34" i="16" s="1"/>
  <c r="W34" i="16"/>
  <c r="P34" i="16"/>
  <c r="R34" i="16" s="1"/>
  <c r="O34" i="16"/>
  <c r="L34" i="16"/>
  <c r="J34" i="16"/>
  <c r="H34" i="16"/>
  <c r="G34" i="16"/>
  <c r="Z33" i="16"/>
  <c r="AA33" i="16" s="1"/>
  <c r="W33" i="16"/>
  <c r="T33" i="16"/>
  <c r="S33" i="16"/>
  <c r="P33" i="16"/>
  <c r="R33" i="16" s="1"/>
  <c r="O33" i="16"/>
  <c r="L33" i="16"/>
  <c r="J33" i="16"/>
  <c r="H33" i="16"/>
  <c r="G33" i="16"/>
  <c r="P41" i="16"/>
  <c r="O41" i="16"/>
  <c r="L41" i="16"/>
  <c r="I10" i="17" l="1"/>
  <c r="J10" i="17"/>
  <c r="K10" i="17"/>
  <c r="L10" i="17"/>
  <c r="M10" i="17"/>
  <c r="H10" i="17"/>
  <c r="R4" i="17" s="1"/>
  <c r="C9" i="17"/>
  <c r="D9" i="17"/>
  <c r="E9" i="17"/>
  <c r="F9" i="17"/>
  <c r="G9" i="17"/>
  <c r="H9" i="17"/>
  <c r="I9" i="17"/>
  <c r="J9" i="17"/>
  <c r="K9" i="17"/>
  <c r="L9" i="17"/>
  <c r="M9" i="17"/>
  <c r="B9" i="17"/>
  <c r="C8" i="17"/>
  <c r="D8" i="17"/>
  <c r="E8" i="17"/>
  <c r="F8" i="17"/>
  <c r="G8" i="17"/>
  <c r="B8" i="17"/>
  <c r="C7" i="17"/>
  <c r="C12" i="17" s="1"/>
  <c r="D7" i="17"/>
  <c r="D12" i="17" s="1"/>
  <c r="E7" i="17"/>
  <c r="E12" i="17" s="1"/>
  <c r="F7" i="17"/>
  <c r="F12" i="17" s="1"/>
  <c r="G7" i="17"/>
  <c r="G12" i="17" s="1"/>
  <c r="H7" i="17"/>
  <c r="H12" i="17" s="1"/>
  <c r="I7" i="17"/>
  <c r="I12" i="17" s="1"/>
  <c r="J7" i="17"/>
  <c r="J12" i="17" s="1"/>
  <c r="K7" i="17"/>
  <c r="K12" i="17" s="1"/>
  <c r="L7" i="17"/>
  <c r="L12" i="17" s="1"/>
  <c r="M7" i="17"/>
  <c r="M12" i="17" s="1"/>
  <c r="B7" i="17"/>
  <c r="B12" i="17" s="1"/>
  <c r="N12" i="17" l="1"/>
  <c r="P4" i="17"/>
  <c r="P14" i="17" s="1"/>
  <c r="Q4" i="17"/>
  <c r="Q14" i="17" s="1"/>
  <c r="G5" i="16"/>
  <c r="H5" i="16"/>
  <c r="J5" i="16"/>
  <c r="O5" i="16"/>
  <c r="P5" i="16"/>
  <c r="R5" i="16" s="1"/>
  <c r="G6" i="16"/>
  <c r="H6" i="16"/>
  <c r="J6" i="16"/>
  <c r="O6" i="16"/>
  <c r="P6" i="16"/>
  <c r="G7" i="16"/>
  <c r="H7" i="16"/>
  <c r="J7" i="16"/>
  <c r="O7" i="16"/>
  <c r="P7" i="16"/>
  <c r="R7" i="16" s="1"/>
  <c r="G8" i="16"/>
  <c r="H8" i="16"/>
  <c r="J8" i="16"/>
  <c r="O8" i="16"/>
  <c r="P8" i="16"/>
  <c r="R8" i="16" s="1"/>
  <c r="G9" i="16"/>
  <c r="H9" i="16"/>
  <c r="J9" i="16"/>
  <c r="O9" i="16"/>
  <c r="P9" i="16"/>
  <c r="R9" i="16" s="1"/>
  <c r="G10" i="16"/>
  <c r="H10" i="16"/>
  <c r="J10" i="16"/>
  <c r="O10" i="16"/>
  <c r="P10" i="16"/>
  <c r="R10" i="16" s="1"/>
  <c r="G11" i="16"/>
  <c r="H11" i="16"/>
  <c r="J11" i="16"/>
  <c r="O11" i="16"/>
  <c r="P11" i="16"/>
  <c r="R11" i="16" s="1"/>
  <c r="G12" i="16"/>
  <c r="H12" i="16"/>
  <c r="J12" i="16"/>
  <c r="O12" i="16"/>
  <c r="P12" i="16"/>
  <c r="R12" i="16" s="1"/>
  <c r="G14" i="16"/>
  <c r="H14" i="16"/>
  <c r="J14" i="16"/>
  <c r="O14" i="16"/>
  <c r="P14" i="16"/>
  <c r="R14" i="16" s="1"/>
  <c r="G15" i="16"/>
  <c r="H15" i="16"/>
  <c r="J15" i="16"/>
  <c r="O15" i="16"/>
  <c r="P15" i="16"/>
  <c r="R15" i="16" s="1"/>
  <c r="G16" i="16"/>
  <c r="H16" i="16"/>
  <c r="J16" i="16"/>
  <c r="O16" i="16"/>
  <c r="P16" i="16"/>
  <c r="R16" i="16" s="1"/>
  <c r="G17" i="16"/>
  <c r="H17" i="16"/>
  <c r="J17" i="16"/>
  <c r="O17" i="16"/>
  <c r="P17" i="16"/>
  <c r="R17" i="16" s="1"/>
  <c r="G18" i="16"/>
  <c r="H18" i="16"/>
  <c r="J18" i="16"/>
  <c r="O18" i="16"/>
  <c r="P18" i="16"/>
  <c r="R18" i="16" s="1"/>
  <c r="G19" i="16"/>
  <c r="H19" i="16"/>
  <c r="J19" i="16"/>
  <c r="O19" i="16"/>
  <c r="P19" i="16"/>
  <c r="G21" i="16"/>
  <c r="H21" i="16"/>
  <c r="J21" i="16"/>
  <c r="O21" i="16"/>
  <c r="P21" i="16"/>
  <c r="R21" i="16" s="1"/>
  <c r="G22" i="16"/>
  <c r="H22" i="16"/>
  <c r="J22" i="16"/>
  <c r="O22" i="16"/>
  <c r="P22" i="16"/>
  <c r="R22" i="16" s="1"/>
  <c r="G24" i="16"/>
  <c r="H24" i="16"/>
  <c r="J24" i="16"/>
  <c r="O24" i="16"/>
  <c r="P24" i="16"/>
  <c r="R24" i="16" s="1"/>
  <c r="G25" i="16"/>
  <c r="H25" i="16"/>
  <c r="J25" i="16"/>
  <c r="O25" i="16"/>
  <c r="P25" i="16"/>
  <c r="R25" i="16" s="1"/>
  <c r="G28" i="16"/>
  <c r="H28" i="16"/>
  <c r="J28" i="16"/>
  <c r="L28" i="16"/>
  <c r="O28" i="16"/>
  <c r="P28" i="16"/>
  <c r="R28" i="16" s="1"/>
  <c r="G29" i="16"/>
  <c r="H29" i="16"/>
  <c r="J29" i="16"/>
  <c r="L29" i="16"/>
  <c r="O29" i="16"/>
  <c r="P29" i="16"/>
  <c r="R29" i="16" s="1"/>
  <c r="G30" i="16"/>
  <c r="H30" i="16"/>
  <c r="J30" i="16"/>
  <c r="L30" i="16"/>
  <c r="O30" i="16"/>
  <c r="P30" i="16"/>
  <c r="R30" i="16" s="1"/>
  <c r="G31" i="16"/>
  <c r="H31" i="16"/>
  <c r="J31" i="16"/>
  <c r="L31" i="16"/>
  <c r="N31" i="16"/>
  <c r="O31" i="16"/>
  <c r="P31" i="16"/>
  <c r="R31" i="16" s="1"/>
  <c r="G27" i="16"/>
  <c r="H27" i="16"/>
  <c r="J27" i="16"/>
  <c r="L27" i="16"/>
  <c r="O27" i="16"/>
  <c r="P27" i="16"/>
  <c r="G32" i="16"/>
  <c r="H32" i="16"/>
  <c r="J32" i="16"/>
  <c r="L32" i="16"/>
  <c r="O32" i="16"/>
  <c r="P32" i="16"/>
  <c r="R32" i="16" s="1"/>
  <c r="G39" i="16"/>
  <c r="H39" i="16"/>
  <c r="J39" i="16"/>
  <c r="L39" i="16"/>
  <c r="O39" i="16"/>
  <c r="P39" i="16"/>
  <c r="R39" i="16" s="1"/>
  <c r="H40" i="16"/>
  <c r="O40" i="16"/>
  <c r="P40" i="16"/>
  <c r="R40" i="16" s="1"/>
  <c r="H42" i="16"/>
  <c r="O42" i="16"/>
  <c r="P42" i="16" s="1"/>
  <c r="R42" i="16" s="1"/>
  <c r="R6" i="16"/>
  <c r="S18" i="16"/>
  <c r="T18" i="16"/>
  <c r="R19" i="16"/>
  <c r="S19" i="16"/>
  <c r="T19" i="16"/>
  <c r="S28" i="16"/>
  <c r="T28" i="16"/>
  <c r="S29" i="16"/>
  <c r="T29" i="16"/>
  <c r="S30" i="16"/>
  <c r="T30" i="16"/>
  <c r="S31" i="16"/>
  <c r="T31" i="16"/>
  <c r="R27" i="16"/>
  <c r="S27" i="16"/>
  <c r="T27" i="16"/>
  <c r="S32" i="16"/>
  <c r="T32" i="16"/>
  <c r="S39" i="16"/>
  <c r="T39" i="16"/>
  <c r="Z32" i="16"/>
  <c r="AA32" i="16" s="1"/>
  <c r="W32" i="16"/>
  <c r="Z27" i="16"/>
  <c r="AA27" i="16" s="1"/>
  <c r="W27" i="16"/>
  <c r="Z31" i="16"/>
  <c r="AA31" i="16" s="1"/>
  <c r="Y31" i="16"/>
  <c r="W31" i="16"/>
  <c r="Z30" i="16"/>
  <c r="AA30" i="16" s="1"/>
  <c r="W30" i="16"/>
  <c r="Z29" i="16"/>
  <c r="AA29" i="16" s="1"/>
  <c r="W29" i="16"/>
  <c r="Z28" i="16"/>
  <c r="AA28" i="16" s="1"/>
  <c r="W28" i="16"/>
  <c r="Z25" i="16"/>
  <c r="AA25" i="16" s="1"/>
  <c r="W25" i="16"/>
  <c r="Z24" i="16"/>
  <c r="AA24" i="16" s="1"/>
  <c r="W24" i="16"/>
  <c r="Z22" i="16"/>
  <c r="AA22" i="16" s="1"/>
  <c r="W22" i="16"/>
  <c r="Z21" i="16"/>
  <c r="AA21" i="16" s="1"/>
  <c r="W21" i="16"/>
  <c r="Z19" i="16"/>
  <c r="AA19" i="16" s="1"/>
  <c r="W19" i="16"/>
  <c r="Z18" i="16"/>
  <c r="AA18" i="16" s="1"/>
  <c r="W18" i="16"/>
  <c r="Z17" i="16"/>
  <c r="AA17" i="16" s="1"/>
  <c r="W17" i="16"/>
  <c r="Z16" i="16"/>
  <c r="AA16" i="16" s="1"/>
  <c r="W16" i="16"/>
  <c r="Z15" i="16"/>
  <c r="AA15" i="16" s="1"/>
  <c r="W15" i="16"/>
  <c r="Z14" i="16"/>
  <c r="AA14" i="16" s="1"/>
  <c r="W14" i="16"/>
  <c r="Z12" i="16"/>
  <c r="AA12" i="16" s="1"/>
  <c r="W12" i="16"/>
  <c r="Z11" i="16"/>
  <c r="AA11" i="16" s="1"/>
  <c r="W11" i="16"/>
  <c r="Z10" i="16"/>
  <c r="AA10" i="16" s="1"/>
  <c r="W10" i="16"/>
  <c r="Z9" i="16"/>
  <c r="AA9" i="16" s="1"/>
  <c r="W9" i="16"/>
  <c r="Z8" i="16"/>
  <c r="AA8" i="16" s="1"/>
  <c r="W8" i="16"/>
  <c r="Z7" i="16"/>
  <c r="AA7" i="16" s="1"/>
  <c r="W7" i="16"/>
  <c r="Z6" i="16"/>
  <c r="AA6" i="16" s="1"/>
  <c r="W6" i="16"/>
  <c r="Z5" i="16"/>
  <c r="AA5" i="16" s="1"/>
  <c r="W5" i="16"/>
  <c r="V15" i="14"/>
  <c r="V16" i="14"/>
  <c r="V17" i="14"/>
  <c r="V18" i="14"/>
  <c r="V19" i="14"/>
  <c r="V6" i="14"/>
  <c r="V7" i="14"/>
  <c r="V8" i="14"/>
  <c r="V9" i="14"/>
  <c r="V10" i="14"/>
  <c r="V11" i="14"/>
  <c r="V12" i="14"/>
  <c r="Y29" i="14"/>
  <c r="Z29" i="14" s="1"/>
  <c r="Y30" i="14"/>
  <c r="Z30" i="14" s="1"/>
  <c r="Y31" i="14"/>
  <c r="Z31" i="14" s="1"/>
  <c r="Y32" i="14"/>
  <c r="Z32" i="14" s="1"/>
  <c r="Y33" i="14"/>
  <c r="Z33" i="14" s="1"/>
  <c r="Y34" i="14"/>
  <c r="Z34" i="14" s="1"/>
  <c r="Y35" i="14"/>
  <c r="Z35" i="14" s="1"/>
  <c r="Y36" i="14"/>
  <c r="Z36" i="14" s="1"/>
  <c r="Y37" i="14"/>
  <c r="Z37" i="14" s="1"/>
  <c r="Y38" i="14"/>
  <c r="Z38" i="14" s="1"/>
  <c r="Y39" i="14"/>
  <c r="Z39" i="14" s="1"/>
  <c r="Y40" i="14"/>
  <c r="Z40" i="14" s="1"/>
  <c r="Y41" i="14"/>
  <c r="Z41" i="14" s="1"/>
  <c r="Y42" i="14"/>
  <c r="Z42" i="14" s="1"/>
  <c r="Y28" i="14"/>
  <c r="Z28" i="14" s="1"/>
  <c r="Y25" i="14"/>
  <c r="Z25" i="14" s="1"/>
  <c r="Y24" i="14"/>
  <c r="Z24" i="14" s="1"/>
  <c r="Y22" i="14"/>
  <c r="Z22" i="14" s="1"/>
  <c r="Y21" i="14"/>
  <c r="Z21" i="14" s="1"/>
  <c r="Y15" i="14"/>
  <c r="Z15" i="14" s="1"/>
  <c r="Y16" i="14"/>
  <c r="Z16" i="14" s="1"/>
  <c r="Y17" i="14"/>
  <c r="Z17" i="14" s="1"/>
  <c r="Y18" i="14"/>
  <c r="Z18" i="14" s="1"/>
  <c r="Y19" i="14"/>
  <c r="Z19" i="14" s="1"/>
  <c r="Y14" i="14"/>
  <c r="Z14" i="14" s="1"/>
  <c r="Y6" i="14"/>
  <c r="Z6" i="14" s="1"/>
  <c r="Y7" i="14"/>
  <c r="Z7" i="14" s="1"/>
  <c r="Y8" i="14"/>
  <c r="Z8" i="14" s="1"/>
  <c r="Y9" i="14"/>
  <c r="Z9" i="14" s="1"/>
  <c r="Y10" i="14"/>
  <c r="Z10" i="14" s="1"/>
  <c r="Y11" i="14"/>
  <c r="Z11" i="14" s="1"/>
  <c r="Y12" i="14"/>
  <c r="Z12" i="14" s="1"/>
  <c r="Y5" i="14"/>
  <c r="Z5" i="14" s="1"/>
  <c r="G5" i="14"/>
  <c r="G6" i="14"/>
  <c r="G7" i="14"/>
  <c r="G8" i="14"/>
  <c r="G9" i="14"/>
  <c r="G10" i="14"/>
  <c r="G11" i="14"/>
  <c r="G12" i="14"/>
  <c r="G14" i="14"/>
  <c r="G15" i="14"/>
  <c r="G16" i="14"/>
  <c r="G17" i="14"/>
  <c r="G18" i="14"/>
  <c r="G19" i="14"/>
  <c r="G21" i="14"/>
  <c r="G22" i="14"/>
  <c r="G24" i="14"/>
  <c r="G25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Z43" i="14"/>
  <c r="Y43" i="14"/>
  <c r="V42" i="14"/>
  <c r="V41" i="14"/>
  <c r="V40" i="14"/>
  <c r="V39" i="14"/>
  <c r="V38" i="14"/>
  <c r="V35" i="14"/>
  <c r="V34" i="14"/>
  <c r="V33" i="14"/>
  <c r="V32" i="14"/>
  <c r="X31" i="14"/>
  <c r="V31" i="14"/>
  <c r="V30" i="14"/>
  <c r="V29" i="14"/>
  <c r="V28" i="14"/>
  <c r="Z27" i="14"/>
  <c r="Y27" i="14"/>
  <c r="V27" i="14"/>
  <c r="V25" i="14"/>
  <c r="V24" i="14"/>
  <c r="V22" i="14"/>
  <c r="V21" i="14"/>
  <c r="V14" i="14"/>
  <c r="V5" i="14"/>
  <c r="I42" i="14" l="1"/>
  <c r="F42" i="14"/>
  <c r="I39" i="14"/>
  <c r="F39" i="14"/>
  <c r="I35" i="14"/>
  <c r="F35" i="14"/>
  <c r="I34" i="14"/>
  <c r="F34" i="14"/>
  <c r="I33" i="14"/>
  <c r="F33" i="14"/>
  <c r="I32" i="14"/>
  <c r="F32" i="14"/>
  <c r="I30" i="14"/>
  <c r="F30" i="14"/>
  <c r="I29" i="14"/>
  <c r="F29" i="14"/>
  <c r="O42" i="14"/>
  <c r="Q42" i="14" s="1"/>
  <c r="N42" i="14"/>
  <c r="O41" i="14"/>
  <c r="Q41" i="14" s="1"/>
  <c r="N41" i="14"/>
  <c r="O40" i="14"/>
  <c r="Q40" i="14" s="1"/>
  <c r="N40" i="14"/>
  <c r="O39" i="14"/>
  <c r="Q39" i="14" s="1"/>
  <c r="N39" i="14"/>
  <c r="O38" i="14"/>
  <c r="Q38" i="14" s="1"/>
  <c r="N38" i="14"/>
  <c r="O37" i="14"/>
  <c r="Q37" i="14" s="1"/>
  <c r="N37" i="14"/>
  <c r="O36" i="14"/>
  <c r="N36" i="14"/>
  <c r="O35" i="14"/>
  <c r="Q35" i="14" s="1"/>
  <c r="N35" i="14"/>
  <c r="O34" i="14"/>
  <c r="Q34" i="14" s="1"/>
  <c r="N34" i="14"/>
  <c r="O33" i="14"/>
  <c r="Q33" i="14" s="1"/>
  <c r="N33" i="14"/>
  <c r="O32" i="14"/>
  <c r="Q32" i="14" s="1"/>
  <c r="N32" i="14"/>
  <c r="O31" i="14"/>
  <c r="Q31" i="14" s="1"/>
  <c r="N31" i="14"/>
  <c r="O30" i="14"/>
  <c r="Q30" i="14" s="1"/>
  <c r="N30" i="14"/>
  <c r="O29" i="14"/>
  <c r="Q29" i="14" s="1"/>
  <c r="N29" i="14"/>
  <c r="O28" i="14"/>
  <c r="Q28" i="14" s="1"/>
  <c r="N28" i="14"/>
  <c r="O25" i="14"/>
  <c r="Q25" i="14" s="1"/>
  <c r="N25" i="14"/>
  <c r="O24" i="14"/>
  <c r="Q24" i="14" s="1"/>
  <c r="N24" i="14"/>
  <c r="O22" i="14"/>
  <c r="Q22" i="14" s="1"/>
  <c r="N22" i="14"/>
  <c r="O21" i="14"/>
  <c r="N21" i="14"/>
  <c r="O19" i="14"/>
  <c r="Q19" i="14" s="1"/>
  <c r="N19" i="14"/>
  <c r="O18" i="14"/>
  <c r="Q18" i="14" s="1"/>
  <c r="N18" i="14"/>
  <c r="O17" i="14"/>
  <c r="Q17" i="14" s="1"/>
  <c r="N17" i="14"/>
  <c r="O16" i="14"/>
  <c r="Q16" i="14" s="1"/>
  <c r="N16" i="14"/>
  <c r="O15" i="14"/>
  <c r="Q15" i="14" s="1"/>
  <c r="N15" i="14"/>
  <c r="O14" i="14"/>
  <c r="Q14" i="14" s="1"/>
  <c r="N14" i="14"/>
  <c r="O12" i="14"/>
  <c r="Q12" i="14" s="1"/>
  <c r="N12" i="14"/>
  <c r="O11" i="14"/>
  <c r="Q11" i="14" s="1"/>
  <c r="N11" i="14"/>
  <c r="O10" i="14"/>
  <c r="Q10" i="14" s="1"/>
  <c r="N10" i="14"/>
  <c r="O9" i="14"/>
  <c r="Q9" i="14" s="1"/>
  <c r="N9" i="14"/>
  <c r="O8" i="14"/>
  <c r="Q8" i="14" s="1"/>
  <c r="N8" i="14"/>
  <c r="O7" i="14"/>
  <c r="Q7" i="14" s="1"/>
  <c r="N7" i="14"/>
  <c r="O6" i="14"/>
  <c r="Q6" i="14" s="1"/>
  <c r="N6" i="14"/>
  <c r="O5" i="14"/>
  <c r="Q5" i="14" s="1"/>
  <c r="N5" i="14"/>
  <c r="O43" i="14"/>
  <c r="N43" i="14"/>
  <c r="K43" i="14"/>
  <c r="S42" i="14"/>
  <c r="R42" i="14"/>
  <c r="K42" i="14"/>
  <c r="S41" i="14"/>
  <c r="R41" i="14"/>
  <c r="K41" i="14"/>
  <c r="I41" i="14"/>
  <c r="F41" i="14"/>
  <c r="S40" i="14"/>
  <c r="R40" i="14"/>
  <c r="K40" i="14"/>
  <c r="I40" i="14"/>
  <c r="F40" i="14"/>
  <c r="S39" i="14"/>
  <c r="R39" i="14"/>
  <c r="K39" i="14"/>
  <c r="K38" i="14"/>
  <c r="I38" i="14"/>
  <c r="F38" i="14"/>
  <c r="Q36" i="14"/>
  <c r="S35" i="14"/>
  <c r="R35" i="14"/>
  <c r="K35" i="14"/>
  <c r="S34" i="14"/>
  <c r="R34" i="14"/>
  <c r="K34" i="14"/>
  <c r="S33" i="14"/>
  <c r="R33" i="14"/>
  <c r="K33" i="14"/>
  <c r="S32" i="14"/>
  <c r="R32" i="14"/>
  <c r="K32" i="14"/>
  <c r="S31" i="14"/>
  <c r="R31" i="14"/>
  <c r="M31" i="14"/>
  <c r="K31" i="14"/>
  <c r="I31" i="14"/>
  <c r="F31" i="14"/>
  <c r="S30" i="14"/>
  <c r="R30" i="14"/>
  <c r="K30" i="14"/>
  <c r="S29" i="14"/>
  <c r="R29" i="14"/>
  <c r="K29" i="14"/>
  <c r="S28" i="14"/>
  <c r="R28" i="14"/>
  <c r="K28" i="14"/>
  <c r="I28" i="14"/>
  <c r="F28" i="14"/>
  <c r="O27" i="14"/>
  <c r="N27" i="14"/>
  <c r="K27" i="14"/>
  <c r="I27" i="14"/>
  <c r="F27" i="14"/>
  <c r="I25" i="14"/>
  <c r="F25" i="14"/>
  <c r="I24" i="14"/>
  <c r="F24" i="14"/>
  <c r="I22" i="14"/>
  <c r="F22" i="14"/>
  <c r="Q21" i="14"/>
  <c r="I21" i="14"/>
  <c r="F21" i="14"/>
  <c r="S19" i="14"/>
  <c r="R19" i="14"/>
  <c r="I19" i="14"/>
  <c r="F19" i="14"/>
  <c r="S18" i="14"/>
  <c r="R18" i="14"/>
  <c r="I18" i="14"/>
  <c r="F18" i="14"/>
  <c r="I17" i="14"/>
  <c r="F17" i="14"/>
  <c r="I16" i="14"/>
  <c r="F16" i="14"/>
  <c r="I15" i="14"/>
  <c r="F15" i="14"/>
  <c r="I14" i="14"/>
  <c r="F14" i="14"/>
  <c r="I12" i="14"/>
  <c r="F12" i="14"/>
  <c r="I11" i="14"/>
  <c r="F11" i="14"/>
  <c r="I10" i="14"/>
  <c r="F10" i="14"/>
  <c r="I9" i="14"/>
  <c r="F9" i="14"/>
  <c r="I8" i="14"/>
  <c r="F8" i="14"/>
  <c r="I7" i="14"/>
  <c r="F7" i="14"/>
  <c r="I6" i="14"/>
  <c r="F6" i="14"/>
  <c r="I5" i="14"/>
  <c r="F5" i="14"/>
  <c r="N31" i="10"/>
  <c r="AD9" i="12" s="1"/>
  <c r="AC9" i="12"/>
  <c r="X22" i="12"/>
  <c r="V22" i="12"/>
  <c r="AB3" i="12"/>
  <c r="AC3" i="12"/>
  <c r="AD3" i="12" s="1"/>
  <c r="AE3" i="12" s="1"/>
  <c r="AD4" i="12" s="1"/>
  <c r="AB4" i="12"/>
  <c r="AC4" i="12"/>
  <c r="AB5" i="12"/>
  <c r="AC5" i="12"/>
  <c r="AC19" i="12"/>
  <c r="AB19" i="12"/>
  <c r="AC18" i="12"/>
  <c r="AD18" i="12" s="1"/>
  <c r="AD19" i="12" s="1"/>
  <c r="AD21" i="12" s="1"/>
  <c r="AB18" i="12"/>
  <c r="AC17" i="12"/>
  <c r="AB17" i="12"/>
  <c r="AC16" i="12"/>
  <c r="AB16" i="12"/>
  <c r="AC15" i="12"/>
  <c r="AB15" i="12"/>
  <c r="AC14" i="12"/>
  <c r="AB14" i="12"/>
  <c r="AC13" i="12"/>
  <c r="AB13" i="12"/>
  <c r="AC12" i="12"/>
  <c r="AB12" i="12"/>
  <c r="AC11" i="12"/>
  <c r="AB11" i="12"/>
  <c r="AC10" i="12"/>
  <c r="AB10" i="12"/>
  <c r="AB9" i="12"/>
  <c r="AC8" i="12"/>
  <c r="AB8" i="12"/>
  <c r="AC7" i="12"/>
  <c r="AB7" i="12"/>
  <c r="AC6" i="12"/>
  <c r="AB6" i="12"/>
  <c r="AC20" i="12"/>
  <c r="AB20" i="12"/>
  <c r="Y20" i="12"/>
  <c r="Y19" i="12"/>
  <c r="W19" i="12"/>
  <c r="U19" i="12"/>
  <c r="T19" i="12"/>
  <c r="Y18" i="12"/>
  <c r="W18" i="12"/>
  <c r="U18" i="12"/>
  <c r="T18" i="12"/>
  <c r="Y17" i="12"/>
  <c r="W17" i="12"/>
  <c r="U17" i="12"/>
  <c r="T17" i="12"/>
  <c r="Y16" i="12"/>
  <c r="W16" i="12"/>
  <c r="U16" i="12"/>
  <c r="T16" i="12"/>
  <c r="U15" i="12"/>
  <c r="U14" i="12"/>
  <c r="Y13" i="12"/>
  <c r="W13" i="12"/>
  <c r="U13" i="12"/>
  <c r="T13" i="12"/>
  <c r="Y12" i="12"/>
  <c r="W12" i="12"/>
  <c r="U12" i="12"/>
  <c r="T12" i="12"/>
  <c r="Y11" i="12"/>
  <c r="W11" i="12"/>
  <c r="U11" i="12"/>
  <c r="T11" i="12"/>
  <c r="Y10" i="12"/>
  <c r="W10" i="12"/>
  <c r="U10" i="12"/>
  <c r="T10" i="12"/>
  <c r="AA9" i="12"/>
  <c r="Y9" i="12"/>
  <c r="W9" i="12"/>
  <c r="U9" i="12"/>
  <c r="T9" i="12"/>
  <c r="Y8" i="12"/>
  <c r="W8" i="12"/>
  <c r="U8" i="12"/>
  <c r="T8" i="12"/>
  <c r="Y7" i="12"/>
  <c r="W7" i="12"/>
  <c r="U7" i="12"/>
  <c r="T7" i="12"/>
  <c r="Y6" i="12"/>
  <c r="W6" i="12"/>
  <c r="U6" i="12"/>
  <c r="T6" i="12"/>
  <c r="Y5" i="12"/>
  <c r="W5" i="12"/>
  <c r="T5" i="12"/>
  <c r="W4" i="12"/>
  <c r="U4" i="12"/>
  <c r="T4" i="12"/>
  <c r="W3" i="12"/>
  <c r="U3" i="12"/>
  <c r="T3" i="12"/>
  <c r="M20" i="12"/>
  <c r="L20" i="12"/>
  <c r="I20" i="12"/>
  <c r="Q19" i="12"/>
  <c r="P19" i="12"/>
  <c r="M19" i="12"/>
  <c r="O19" i="12" s="1"/>
  <c r="L19" i="12"/>
  <c r="I19" i="12"/>
  <c r="G19" i="12"/>
  <c r="E19" i="12"/>
  <c r="C19" i="12"/>
  <c r="Q18" i="12"/>
  <c r="P18" i="12"/>
  <c r="M18" i="12"/>
  <c r="O18" i="12" s="1"/>
  <c r="L18" i="12"/>
  <c r="I18" i="12"/>
  <c r="G18" i="12"/>
  <c r="E18" i="12"/>
  <c r="C18" i="12"/>
  <c r="Q17" i="12"/>
  <c r="P17" i="12"/>
  <c r="M17" i="12"/>
  <c r="O17" i="12" s="1"/>
  <c r="L17" i="12"/>
  <c r="I17" i="12"/>
  <c r="G17" i="12"/>
  <c r="E17" i="12"/>
  <c r="C17" i="12"/>
  <c r="Q16" i="12"/>
  <c r="P16" i="12"/>
  <c r="M16" i="12"/>
  <c r="O16" i="12" s="1"/>
  <c r="L16" i="12"/>
  <c r="I16" i="12"/>
  <c r="G16" i="12"/>
  <c r="E16" i="12"/>
  <c r="C16" i="12"/>
  <c r="M15" i="12"/>
  <c r="O15" i="12" s="1"/>
  <c r="L15" i="12"/>
  <c r="E15" i="12"/>
  <c r="M14" i="12"/>
  <c r="O14" i="12" s="1"/>
  <c r="L14" i="12"/>
  <c r="E14" i="12"/>
  <c r="Q13" i="12"/>
  <c r="P13" i="12"/>
  <c r="M13" i="12"/>
  <c r="O13" i="12" s="1"/>
  <c r="L13" i="12"/>
  <c r="I13" i="12"/>
  <c r="G13" i="12"/>
  <c r="E13" i="12"/>
  <c r="C13" i="12"/>
  <c r="Q12" i="12"/>
  <c r="P12" i="12"/>
  <c r="M12" i="12"/>
  <c r="O12" i="12" s="1"/>
  <c r="L12" i="12"/>
  <c r="I12" i="12"/>
  <c r="G12" i="12"/>
  <c r="E12" i="12"/>
  <c r="C12" i="12"/>
  <c r="Q11" i="12"/>
  <c r="P11" i="12"/>
  <c r="M11" i="12"/>
  <c r="O11" i="12" s="1"/>
  <c r="L11" i="12"/>
  <c r="I11" i="12"/>
  <c r="G11" i="12"/>
  <c r="E11" i="12"/>
  <c r="C11" i="12"/>
  <c r="Q10" i="12"/>
  <c r="P10" i="12"/>
  <c r="M10" i="12"/>
  <c r="O10" i="12" s="1"/>
  <c r="L10" i="12"/>
  <c r="I10" i="12"/>
  <c r="G10" i="12"/>
  <c r="E10" i="12"/>
  <c r="C10" i="12"/>
  <c r="Q9" i="12"/>
  <c r="P9" i="12"/>
  <c r="M9" i="12"/>
  <c r="O9" i="12" s="1"/>
  <c r="L9" i="12"/>
  <c r="K9" i="12"/>
  <c r="I9" i="12"/>
  <c r="G9" i="12"/>
  <c r="E9" i="12"/>
  <c r="C9" i="12"/>
  <c r="Q8" i="12"/>
  <c r="P8" i="12"/>
  <c r="M8" i="12"/>
  <c r="O8" i="12" s="1"/>
  <c r="L8" i="12"/>
  <c r="I8" i="12"/>
  <c r="G8" i="12"/>
  <c r="E8" i="12"/>
  <c r="C8" i="12"/>
  <c r="Q7" i="12"/>
  <c r="P7" i="12"/>
  <c r="M7" i="12"/>
  <c r="O7" i="12" s="1"/>
  <c r="L7" i="12"/>
  <c r="I7" i="12"/>
  <c r="G7" i="12"/>
  <c r="E7" i="12"/>
  <c r="C7" i="12"/>
  <c r="Q6" i="12"/>
  <c r="P6" i="12"/>
  <c r="M6" i="12"/>
  <c r="O6" i="12" s="1"/>
  <c r="L6" i="12"/>
  <c r="I6" i="12"/>
  <c r="G6" i="12"/>
  <c r="E6" i="12"/>
  <c r="C6" i="12"/>
  <c r="M5" i="12"/>
  <c r="L5" i="12"/>
  <c r="I5" i="12"/>
  <c r="G5" i="12"/>
  <c r="C5" i="12"/>
  <c r="Q4" i="12"/>
  <c r="P4" i="12"/>
  <c r="M4" i="12"/>
  <c r="O4" i="12" s="1"/>
  <c r="L4" i="12"/>
  <c r="G4" i="12"/>
  <c r="E4" i="12"/>
  <c r="C4" i="12"/>
  <c r="Q3" i="12"/>
  <c r="P3" i="12"/>
  <c r="M3" i="12"/>
  <c r="O3" i="12" s="1"/>
  <c r="L3" i="12"/>
  <c r="G3" i="12"/>
  <c r="E3" i="12"/>
  <c r="C3" i="12"/>
  <c r="AE9" i="12" l="1"/>
  <c r="AE10" i="12" s="1"/>
  <c r="AE11" i="12" s="1"/>
  <c r="P42" i="11"/>
  <c r="P41" i="11"/>
  <c r="P40" i="11"/>
  <c r="P39" i="11"/>
  <c r="P38" i="11"/>
  <c r="P37" i="11"/>
  <c r="P36" i="11"/>
  <c r="P35" i="11"/>
  <c r="P34" i="11"/>
  <c r="P33" i="11"/>
  <c r="P32" i="11"/>
  <c r="P31" i="11"/>
  <c r="P30" i="11"/>
  <c r="P29" i="11"/>
  <c r="P28" i="11"/>
  <c r="P25" i="11"/>
  <c r="P24" i="11"/>
  <c r="P22" i="11"/>
  <c r="P21" i="11"/>
  <c r="P19" i="11"/>
  <c r="P18" i="11"/>
  <c r="P17" i="11"/>
  <c r="P16" i="11"/>
  <c r="P15" i="11"/>
  <c r="P14" i="11"/>
  <c r="P12" i="11"/>
  <c r="P11" i="11"/>
  <c r="P10" i="11"/>
  <c r="P9" i="11"/>
  <c r="P8" i="11"/>
  <c r="P7" i="11"/>
  <c r="P6" i="11"/>
  <c r="P5" i="11"/>
  <c r="O42" i="11" l="1"/>
  <c r="O41" i="11"/>
  <c r="O40" i="11"/>
  <c r="O39" i="11"/>
  <c r="O38" i="11"/>
  <c r="O37" i="11"/>
  <c r="O36" i="11"/>
  <c r="O35" i="11"/>
  <c r="O34" i="11"/>
  <c r="O33" i="11"/>
  <c r="O32" i="11"/>
  <c r="O31" i="11"/>
  <c r="O30" i="11"/>
  <c r="O29" i="11"/>
  <c r="O28" i="11"/>
  <c r="O25" i="11"/>
  <c r="O24" i="11"/>
  <c r="O22" i="11"/>
  <c r="O21" i="11"/>
  <c r="O17" i="11"/>
  <c r="O16" i="11"/>
  <c r="O15" i="11"/>
  <c r="O14" i="11"/>
  <c r="O12" i="11"/>
  <c r="O11" i="11"/>
  <c r="O10" i="11"/>
  <c r="O9" i="11"/>
  <c r="O8" i="11"/>
  <c r="O7" i="11"/>
  <c r="O6" i="11"/>
  <c r="O5" i="11"/>
  <c r="T42" i="11"/>
  <c r="S42" i="11"/>
  <c r="T41" i="11"/>
  <c r="S41" i="11"/>
  <c r="T40" i="11"/>
  <c r="S40" i="11"/>
  <c r="T39" i="11"/>
  <c r="S39" i="11"/>
  <c r="T35" i="11"/>
  <c r="S35" i="11"/>
  <c r="T34" i="11"/>
  <c r="S34" i="11"/>
  <c r="T33" i="11"/>
  <c r="S33" i="11"/>
  <c r="T32" i="11"/>
  <c r="S32" i="11"/>
  <c r="T31" i="11"/>
  <c r="S31" i="11"/>
  <c r="T30" i="11"/>
  <c r="S30" i="11"/>
  <c r="T29" i="11"/>
  <c r="S29" i="11"/>
  <c r="T28" i="11"/>
  <c r="S28" i="11"/>
  <c r="R42" i="11"/>
  <c r="R41" i="11"/>
  <c r="R40" i="11"/>
  <c r="R39" i="11"/>
  <c r="R38" i="11"/>
  <c r="R37" i="11"/>
  <c r="R36" i="11"/>
  <c r="R35" i="11"/>
  <c r="R34" i="11"/>
  <c r="R33" i="11"/>
  <c r="R32" i="11"/>
  <c r="R31" i="11"/>
  <c r="R30" i="11"/>
  <c r="R29" i="11"/>
  <c r="R28" i="11"/>
  <c r="R25" i="11"/>
  <c r="R24" i="11"/>
  <c r="R22" i="11"/>
  <c r="R21" i="11"/>
  <c r="R17" i="11"/>
  <c r="R16" i="11"/>
  <c r="R15" i="11"/>
  <c r="R14" i="11"/>
  <c r="R6" i="11"/>
  <c r="R7" i="11"/>
  <c r="R8" i="11"/>
  <c r="R9" i="11"/>
  <c r="R10" i="11"/>
  <c r="R11" i="11"/>
  <c r="R12" i="11"/>
  <c r="R5" i="11"/>
  <c r="L40" i="11"/>
  <c r="L41" i="11"/>
  <c r="L34" i="11"/>
  <c r="L35" i="11"/>
  <c r="J34" i="11"/>
  <c r="J35" i="11"/>
  <c r="H34" i="11"/>
  <c r="H35" i="11"/>
  <c r="F34" i="11"/>
  <c r="F35" i="11"/>
  <c r="H42" i="11"/>
  <c r="H41" i="11"/>
  <c r="H40" i="11"/>
  <c r="H39" i="11"/>
  <c r="H38" i="11"/>
  <c r="H37" i="11"/>
  <c r="H36" i="11"/>
  <c r="H33" i="11"/>
  <c r="H32" i="11"/>
  <c r="H31" i="11"/>
  <c r="H30" i="11"/>
  <c r="H29" i="11"/>
  <c r="H28" i="11"/>
  <c r="H25" i="11"/>
  <c r="H24" i="11"/>
  <c r="H22" i="11"/>
  <c r="H21" i="11"/>
  <c r="H17" i="11"/>
  <c r="H16" i="11"/>
  <c r="H15" i="11"/>
  <c r="H14" i="11"/>
  <c r="H12" i="11"/>
  <c r="H11" i="11"/>
  <c r="H10" i="11"/>
  <c r="H9" i="11"/>
  <c r="H8" i="11"/>
  <c r="H7" i="11"/>
  <c r="H6" i="11"/>
  <c r="H5" i="11"/>
  <c r="P43" i="11"/>
  <c r="O43" i="11"/>
  <c r="L43" i="11"/>
  <c r="L42" i="11"/>
  <c r="J42" i="11"/>
  <c r="F42" i="11"/>
  <c r="J41" i="11"/>
  <c r="F41" i="11"/>
  <c r="J40" i="11"/>
  <c r="F40" i="11"/>
  <c r="L39" i="11"/>
  <c r="J39" i="11"/>
  <c r="F39" i="11"/>
  <c r="L38" i="11"/>
  <c r="J38" i="11"/>
  <c r="F38" i="11"/>
  <c r="L33" i="11"/>
  <c r="J33" i="11"/>
  <c r="F33" i="11"/>
  <c r="L32" i="11"/>
  <c r="J32" i="11"/>
  <c r="F32" i="11"/>
  <c r="N31" i="11"/>
  <c r="L31" i="11"/>
  <c r="J31" i="11"/>
  <c r="F31" i="11"/>
  <c r="L30" i="11"/>
  <c r="J30" i="11"/>
  <c r="F30" i="11"/>
  <c r="L29" i="11"/>
  <c r="J29" i="11"/>
  <c r="F29" i="11"/>
  <c r="L28" i="11"/>
  <c r="J28" i="11"/>
  <c r="F28" i="11"/>
  <c r="P27" i="11"/>
  <c r="O27" i="11"/>
  <c r="L27" i="11"/>
  <c r="J27" i="11"/>
  <c r="F27" i="11"/>
  <c r="J25" i="11"/>
  <c r="F25" i="11"/>
  <c r="J24" i="11"/>
  <c r="F24" i="11"/>
  <c r="J22" i="11"/>
  <c r="F22" i="11"/>
  <c r="J21" i="11"/>
  <c r="F21" i="11"/>
  <c r="J19" i="11"/>
  <c r="F19" i="11"/>
  <c r="J18" i="11"/>
  <c r="F18" i="11"/>
  <c r="J17" i="11"/>
  <c r="F17" i="11"/>
  <c r="J16" i="11"/>
  <c r="F16" i="11"/>
  <c r="J15" i="11"/>
  <c r="F15" i="11"/>
  <c r="J14" i="11"/>
  <c r="F14" i="11"/>
  <c r="J12" i="11"/>
  <c r="F12" i="11"/>
  <c r="J11" i="11"/>
  <c r="F11" i="11"/>
  <c r="J10" i="11"/>
  <c r="F10" i="11"/>
  <c r="J9" i="11"/>
  <c r="F9" i="11"/>
  <c r="J8" i="11"/>
  <c r="F8" i="11"/>
  <c r="J7" i="11"/>
  <c r="F7" i="11"/>
  <c r="J6" i="11"/>
  <c r="F6" i="11"/>
  <c r="J5" i="11"/>
  <c r="F5" i="11"/>
  <c r="H29" i="10" l="1"/>
  <c r="F29" i="10"/>
  <c r="N43" i="10"/>
  <c r="M43" i="10"/>
  <c r="J43" i="10"/>
  <c r="N42" i="10"/>
  <c r="M42" i="10"/>
  <c r="J42" i="10"/>
  <c r="H42" i="10"/>
  <c r="F42" i="10"/>
  <c r="N41" i="10"/>
  <c r="M41" i="10"/>
  <c r="H41" i="10"/>
  <c r="F41" i="10"/>
  <c r="N40" i="10"/>
  <c r="M40" i="10"/>
  <c r="J40" i="10"/>
  <c r="H40" i="10"/>
  <c r="F40" i="10"/>
  <c r="N39" i="10"/>
  <c r="M39" i="10"/>
  <c r="J39" i="10"/>
  <c r="H39" i="10"/>
  <c r="F39" i="10"/>
  <c r="N38" i="10"/>
  <c r="M38" i="10"/>
  <c r="J38" i="10"/>
  <c r="H38" i="10"/>
  <c r="F38" i="10"/>
  <c r="N37" i="10"/>
  <c r="M37" i="10"/>
  <c r="N36" i="10"/>
  <c r="M36" i="10"/>
  <c r="N35" i="10"/>
  <c r="M35" i="10"/>
  <c r="N34" i="10"/>
  <c r="M34" i="10"/>
  <c r="J34" i="10"/>
  <c r="N33" i="10"/>
  <c r="M33" i="10"/>
  <c r="J33" i="10"/>
  <c r="H33" i="10"/>
  <c r="F33" i="10"/>
  <c r="N32" i="10"/>
  <c r="M32" i="10"/>
  <c r="J32" i="10"/>
  <c r="H32" i="10"/>
  <c r="F32" i="10"/>
  <c r="M31" i="10"/>
  <c r="L31" i="10"/>
  <c r="J31" i="10"/>
  <c r="H31" i="10"/>
  <c r="F31" i="10"/>
  <c r="N30" i="10"/>
  <c r="O31" i="10" s="1"/>
  <c r="M30" i="10"/>
  <c r="J30" i="10"/>
  <c r="H30" i="10"/>
  <c r="F30" i="10"/>
  <c r="N29" i="10"/>
  <c r="M29" i="10"/>
  <c r="J29" i="10"/>
  <c r="N28" i="10"/>
  <c r="M28" i="10"/>
  <c r="J28" i="10"/>
  <c r="H28" i="10"/>
  <c r="F28" i="10"/>
  <c r="N27" i="10"/>
  <c r="M27" i="10"/>
  <c r="J27" i="10"/>
  <c r="H27" i="10"/>
  <c r="F27" i="10"/>
  <c r="N25" i="10"/>
  <c r="M25" i="10"/>
  <c r="H25" i="10"/>
  <c r="F25" i="10"/>
  <c r="N24" i="10"/>
  <c r="M24" i="10"/>
  <c r="H24" i="10"/>
  <c r="F24" i="10"/>
  <c r="N22" i="10"/>
  <c r="M22" i="10"/>
  <c r="H22" i="10"/>
  <c r="F22" i="10"/>
  <c r="N21" i="10"/>
  <c r="M21" i="10"/>
  <c r="H21" i="10"/>
  <c r="F21" i="10"/>
  <c r="N19" i="10"/>
  <c r="M19" i="10"/>
  <c r="H19" i="10"/>
  <c r="F19" i="10"/>
  <c r="N18" i="10"/>
  <c r="M18" i="10"/>
  <c r="H18" i="10"/>
  <c r="F18" i="10"/>
  <c r="N17" i="10"/>
  <c r="M17" i="10"/>
  <c r="H17" i="10"/>
  <c r="F17" i="10"/>
  <c r="N16" i="10"/>
  <c r="M16" i="10"/>
  <c r="H16" i="10"/>
  <c r="F16" i="10"/>
  <c r="N15" i="10"/>
  <c r="M15" i="10"/>
  <c r="H15" i="10"/>
  <c r="F15" i="10"/>
  <c r="N14" i="10"/>
  <c r="M14" i="10"/>
  <c r="H14" i="10"/>
  <c r="F14" i="10"/>
  <c r="N12" i="10"/>
  <c r="M12" i="10"/>
  <c r="H12" i="10"/>
  <c r="F12" i="10"/>
  <c r="N11" i="10"/>
  <c r="M11" i="10"/>
  <c r="H11" i="10"/>
  <c r="F11" i="10"/>
  <c r="N10" i="10"/>
  <c r="M10" i="10"/>
  <c r="H10" i="10"/>
  <c r="F10" i="10"/>
  <c r="N9" i="10"/>
  <c r="M9" i="10"/>
  <c r="H9" i="10"/>
  <c r="F9" i="10"/>
  <c r="N8" i="10"/>
  <c r="M8" i="10"/>
  <c r="H8" i="10"/>
  <c r="F8" i="10"/>
  <c r="N7" i="10"/>
  <c r="M7" i="10"/>
  <c r="H7" i="10"/>
  <c r="F7" i="10"/>
  <c r="N6" i="10"/>
  <c r="M6" i="10"/>
  <c r="H6" i="10"/>
  <c r="F6" i="10"/>
  <c r="N5" i="10"/>
  <c r="M5" i="10"/>
  <c r="H5" i="10"/>
  <c r="F5" i="10"/>
  <c r="J42" i="9" l="1"/>
  <c r="J40" i="9"/>
  <c r="J33" i="9"/>
  <c r="N41" i="9" l="1"/>
  <c r="M34" i="9" l="1"/>
  <c r="N34" i="9"/>
  <c r="M42" i="9"/>
  <c r="N42" i="9"/>
  <c r="H39" i="9" l="1"/>
  <c r="F39" i="9"/>
  <c r="J26" i="9"/>
  <c r="J37" i="9"/>
  <c r="H26" i="9"/>
  <c r="H37" i="9"/>
  <c r="F26" i="9"/>
  <c r="F37" i="9"/>
  <c r="N36" i="9"/>
  <c r="M36" i="9"/>
  <c r="N33" i="9"/>
  <c r="M33" i="9"/>
  <c r="N35" i="9"/>
  <c r="M35" i="9"/>
  <c r="N26" i="9"/>
  <c r="M26" i="9"/>
  <c r="N37" i="9"/>
  <c r="M37" i="9"/>
  <c r="L30" i="9" l="1"/>
  <c r="J30" i="9"/>
  <c r="J41" i="9"/>
  <c r="J38" i="9"/>
  <c r="J31" i="9"/>
  <c r="J32" i="9"/>
  <c r="J29" i="9"/>
  <c r="J27" i="9"/>
  <c r="H40" i="9"/>
  <c r="H30" i="9"/>
  <c r="H41" i="9"/>
  <c r="H38" i="9"/>
  <c r="H31" i="9"/>
  <c r="H32" i="9"/>
  <c r="H29" i="9"/>
  <c r="H27" i="9"/>
  <c r="H28" i="9"/>
  <c r="H24" i="9"/>
  <c r="H23" i="9"/>
  <c r="H21" i="9"/>
  <c r="H20" i="9"/>
  <c r="H18" i="9"/>
  <c r="H17" i="9"/>
  <c r="H16" i="9"/>
  <c r="H15" i="9"/>
  <c r="H14" i="9"/>
  <c r="H13" i="9"/>
  <c r="H12" i="9"/>
  <c r="H10" i="9"/>
  <c r="H9" i="9"/>
  <c r="H8" i="9"/>
  <c r="H7" i="9"/>
  <c r="H6" i="9"/>
  <c r="H5" i="9"/>
  <c r="H4" i="9"/>
  <c r="F40" i="9"/>
  <c r="F30" i="9"/>
  <c r="F41" i="9"/>
  <c r="F38" i="9"/>
  <c r="F31" i="9"/>
  <c r="F32" i="9"/>
  <c r="F29" i="9"/>
  <c r="F27" i="9"/>
  <c r="F28" i="9"/>
  <c r="F24" i="9"/>
  <c r="F23" i="9"/>
  <c r="F21" i="9"/>
  <c r="F20" i="9"/>
  <c r="F18" i="9"/>
  <c r="F17" i="9"/>
  <c r="F16" i="9"/>
  <c r="F15" i="9"/>
  <c r="F14" i="9"/>
  <c r="F13" i="9"/>
  <c r="F12" i="9"/>
  <c r="F10" i="9"/>
  <c r="F9" i="9"/>
  <c r="F8" i="9"/>
  <c r="F7" i="9"/>
  <c r="F6" i="9"/>
  <c r="F5" i="9"/>
  <c r="F4" i="9"/>
  <c r="M41" i="9"/>
  <c r="N40" i="9"/>
  <c r="N30" i="9"/>
  <c r="N39" i="9"/>
  <c r="N38" i="9"/>
  <c r="N31" i="9"/>
  <c r="N32" i="9"/>
  <c r="N29" i="9"/>
  <c r="N27" i="9"/>
  <c r="N28" i="9"/>
  <c r="N24" i="9"/>
  <c r="N23" i="9"/>
  <c r="N21" i="9"/>
  <c r="N20" i="9"/>
  <c r="N18" i="9"/>
  <c r="N17" i="9"/>
  <c r="N16" i="9"/>
  <c r="N15" i="9"/>
  <c r="N14" i="9"/>
  <c r="N13" i="9"/>
  <c r="N12" i="9"/>
  <c r="N10" i="9"/>
  <c r="N9" i="9"/>
  <c r="N8" i="9"/>
  <c r="N7" i="9"/>
  <c r="N6" i="9"/>
  <c r="N5" i="9"/>
  <c r="N4" i="9"/>
  <c r="N3" i="9"/>
  <c r="M21" i="9"/>
  <c r="M24" i="9"/>
  <c r="M23" i="9"/>
  <c r="M17" i="9"/>
  <c r="M16" i="9"/>
  <c r="M15" i="9"/>
  <c r="M14" i="9"/>
  <c r="M13" i="9"/>
  <c r="M40" i="9"/>
  <c r="M30" i="9"/>
  <c r="M39" i="9"/>
  <c r="J39" i="9"/>
  <c r="M38" i="9"/>
  <c r="M31" i="9"/>
  <c r="M32" i="9"/>
  <c r="M29" i="9"/>
  <c r="M27" i="9"/>
  <c r="M28" i="9"/>
  <c r="J28" i="9"/>
  <c r="M20" i="9"/>
  <c r="M18" i="9"/>
  <c r="M12" i="9"/>
  <c r="M10" i="9"/>
  <c r="M9" i="9"/>
  <c r="M8" i="9"/>
  <c r="M7" i="9"/>
  <c r="M6" i="9"/>
  <c r="M5" i="9"/>
  <c r="M4" i="9"/>
  <c r="M3" i="9"/>
  <c r="H3" i="9"/>
  <c r="F3" i="9"/>
  <c r="Z38" i="8" l="1"/>
  <c r="AA38" i="8" s="1"/>
  <c r="Y38" i="8"/>
  <c r="S38" i="8"/>
  <c r="N38" i="8"/>
  <c r="M38" i="8"/>
  <c r="H38" i="8"/>
  <c r="Z37" i="8"/>
  <c r="AA37" i="8" s="1"/>
  <c r="Y37" i="8"/>
  <c r="S37" i="8"/>
  <c r="N37" i="8"/>
  <c r="M37" i="8"/>
  <c r="H37" i="8"/>
  <c r="F37" i="8"/>
  <c r="Z35" i="8"/>
  <c r="AA35" i="8" s="1"/>
  <c r="Y35" i="8"/>
  <c r="S35" i="8"/>
  <c r="N35" i="8"/>
  <c r="M35" i="8"/>
  <c r="L35" i="8"/>
  <c r="J35" i="8"/>
  <c r="H35" i="8"/>
  <c r="F35" i="8"/>
  <c r="Z34" i="8"/>
  <c r="AA34" i="8" s="1"/>
  <c r="Y34" i="8"/>
  <c r="S34" i="8"/>
  <c r="N34" i="8"/>
  <c r="M34" i="8"/>
  <c r="J34" i="8"/>
  <c r="H34" i="8"/>
  <c r="Z33" i="8"/>
  <c r="AA33" i="8" s="1"/>
  <c r="Y33" i="8"/>
  <c r="S33" i="8"/>
  <c r="N33" i="8"/>
  <c r="M33" i="8"/>
  <c r="J33" i="8"/>
  <c r="H33" i="8"/>
  <c r="Z32" i="8"/>
  <c r="AA32" i="8" s="1"/>
  <c r="Y32" i="8"/>
  <c r="S32" i="8"/>
  <c r="N32" i="8"/>
  <c r="M32" i="8"/>
  <c r="J32" i="8"/>
  <c r="H32" i="8"/>
  <c r="Z31" i="8"/>
  <c r="AA31" i="8" s="1"/>
  <c r="Y31" i="8"/>
  <c r="S31" i="8"/>
  <c r="N31" i="8"/>
  <c r="M31" i="8"/>
  <c r="J31" i="8"/>
  <c r="H31" i="8"/>
  <c r="Z30" i="8"/>
  <c r="AA30" i="8" s="1"/>
  <c r="Y30" i="8"/>
  <c r="S30" i="8"/>
  <c r="N30" i="8"/>
  <c r="M30" i="8"/>
  <c r="J30" i="8"/>
  <c r="H30" i="8"/>
  <c r="Z29" i="8"/>
  <c r="AA29" i="8" s="1"/>
  <c r="Y29" i="8"/>
  <c r="S29" i="8"/>
  <c r="N29" i="8"/>
  <c r="M29" i="8"/>
  <c r="J29" i="8"/>
  <c r="H29" i="8"/>
  <c r="Z28" i="8"/>
  <c r="AA28" i="8" s="1"/>
  <c r="Y28" i="8"/>
  <c r="S28" i="8"/>
  <c r="N28" i="8"/>
  <c r="M28" i="8"/>
  <c r="J28" i="8"/>
  <c r="H28" i="8"/>
  <c r="Z27" i="8"/>
  <c r="AA27" i="8" s="1"/>
  <c r="Y27" i="8"/>
  <c r="S27" i="8"/>
  <c r="N27" i="8"/>
  <c r="M27" i="8"/>
  <c r="J27" i="8"/>
  <c r="H27" i="8"/>
  <c r="Z26" i="8"/>
  <c r="AA26" i="8" s="1"/>
  <c r="Y26" i="8"/>
  <c r="S26" i="8"/>
  <c r="N26" i="8"/>
  <c r="M26" i="8"/>
  <c r="J26" i="8"/>
  <c r="H26" i="8"/>
  <c r="Z24" i="8"/>
  <c r="AA24" i="8" s="1"/>
  <c r="Y24" i="8"/>
  <c r="S24" i="8"/>
  <c r="N24" i="8"/>
  <c r="M24" i="8"/>
  <c r="H24" i="8"/>
  <c r="F24" i="8"/>
  <c r="Z23" i="8"/>
  <c r="AA23" i="8" s="1"/>
  <c r="Y23" i="8"/>
  <c r="S23" i="8"/>
  <c r="N23" i="8"/>
  <c r="M23" i="8"/>
  <c r="H23" i="8"/>
  <c r="F23" i="8"/>
  <c r="Z21" i="8"/>
  <c r="AA21" i="8" s="1"/>
  <c r="Y21" i="8"/>
  <c r="S21" i="8"/>
  <c r="N21" i="8"/>
  <c r="M21" i="8"/>
  <c r="H21" i="8"/>
  <c r="F21" i="8"/>
  <c r="Z20" i="8"/>
  <c r="AA20" i="8" s="1"/>
  <c r="Y20" i="8"/>
  <c r="S20" i="8"/>
  <c r="N20" i="8"/>
  <c r="M20" i="8"/>
  <c r="H20" i="8"/>
  <c r="F20" i="8"/>
  <c r="Z19" i="8"/>
  <c r="AA19" i="8" s="1"/>
  <c r="Y19" i="8"/>
  <c r="S19" i="8"/>
  <c r="N19" i="8"/>
  <c r="M19" i="8"/>
  <c r="H19" i="8"/>
  <c r="F19" i="8"/>
  <c r="Z18" i="8"/>
  <c r="AA18" i="8" s="1"/>
  <c r="Y18" i="8"/>
  <c r="N18" i="8"/>
  <c r="M18" i="8"/>
  <c r="H18" i="8"/>
  <c r="F18" i="8"/>
  <c r="Z17" i="8"/>
  <c r="AA17" i="8" s="1"/>
  <c r="Y17" i="8"/>
  <c r="S17" i="8"/>
  <c r="N17" i="8"/>
  <c r="M17" i="8"/>
  <c r="H17" i="8"/>
  <c r="F17" i="8"/>
  <c r="Z16" i="8"/>
  <c r="AA16" i="8" s="1"/>
  <c r="Y16" i="8"/>
  <c r="S16" i="8"/>
  <c r="N16" i="8"/>
  <c r="M16" i="8"/>
  <c r="H16" i="8"/>
  <c r="F16" i="8"/>
  <c r="Z15" i="8"/>
  <c r="AA15" i="8" s="1"/>
  <c r="Y15" i="8"/>
  <c r="S15" i="8"/>
  <c r="N15" i="8"/>
  <c r="M15" i="8"/>
  <c r="H15" i="8"/>
  <c r="F15" i="8"/>
  <c r="Z14" i="8"/>
  <c r="AA14" i="8" s="1"/>
  <c r="Y14" i="8"/>
  <c r="S14" i="8"/>
  <c r="N14" i="8"/>
  <c r="M14" i="8"/>
  <c r="H14" i="8"/>
  <c r="F14" i="8"/>
  <c r="Z13" i="8"/>
  <c r="AA13" i="8" s="1"/>
  <c r="Y13" i="8"/>
  <c r="S13" i="8"/>
  <c r="N13" i="8"/>
  <c r="M13" i="8"/>
  <c r="H13" i="8"/>
  <c r="F13" i="8"/>
  <c r="Z12" i="8"/>
  <c r="AA12" i="8" s="1"/>
  <c r="Y12" i="8"/>
  <c r="S12" i="8"/>
  <c r="N12" i="8"/>
  <c r="M12" i="8"/>
  <c r="H12" i="8"/>
  <c r="F12" i="8"/>
  <c r="Z10" i="8"/>
  <c r="AA10" i="8" s="1"/>
  <c r="Y10" i="8"/>
  <c r="N10" i="8"/>
  <c r="M10" i="8"/>
  <c r="H10" i="8"/>
  <c r="F10" i="8"/>
  <c r="Z9" i="8"/>
  <c r="AA9" i="8" s="1"/>
  <c r="Y9" i="8"/>
  <c r="N9" i="8"/>
  <c r="M9" i="8"/>
  <c r="H9" i="8"/>
  <c r="F9" i="8"/>
  <c r="Z8" i="8"/>
  <c r="AA8" i="8" s="1"/>
  <c r="Y8" i="8"/>
  <c r="N8" i="8"/>
  <c r="M8" i="8"/>
  <c r="H8" i="8"/>
  <c r="F8" i="8"/>
  <c r="Z7" i="8"/>
  <c r="AA7" i="8" s="1"/>
  <c r="Y7" i="8"/>
  <c r="N7" i="8"/>
  <c r="M7" i="8"/>
  <c r="H7" i="8"/>
  <c r="F7" i="8"/>
  <c r="Z6" i="8"/>
  <c r="AA6" i="8" s="1"/>
  <c r="Y6" i="8"/>
  <c r="N6" i="8"/>
  <c r="M6" i="8"/>
  <c r="H6" i="8"/>
  <c r="F6" i="8"/>
  <c r="Z5" i="8"/>
  <c r="AA5" i="8" s="1"/>
  <c r="Y5" i="8"/>
  <c r="N5" i="8"/>
  <c r="M5" i="8"/>
  <c r="H5" i="8"/>
  <c r="F5" i="8"/>
  <c r="Z4" i="8"/>
  <c r="AA4" i="8" s="1"/>
  <c r="Y4" i="8"/>
  <c r="N4" i="8"/>
  <c r="M4" i="8"/>
  <c r="H4" i="8"/>
  <c r="F4" i="8"/>
  <c r="Z3" i="8"/>
  <c r="AA3" i="8" s="1"/>
  <c r="Y3" i="8"/>
  <c r="N3" i="8"/>
  <c r="M3" i="8"/>
  <c r="H3" i="8"/>
  <c r="F3" i="8"/>
  <c r="F38" i="7" l="1"/>
  <c r="Z38" i="7"/>
  <c r="AA38" i="7"/>
  <c r="Y38" i="7"/>
  <c r="S38" i="7"/>
  <c r="N38" i="7"/>
  <c r="M38" i="7"/>
  <c r="H38" i="7"/>
  <c r="Z37" i="7"/>
  <c r="AA37" i="7" s="1"/>
  <c r="Y37" i="7"/>
  <c r="S37" i="7"/>
  <c r="N37" i="7"/>
  <c r="M37" i="7"/>
  <c r="H37" i="7"/>
  <c r="F37" i="7"/>
  <c r="Z35" i="7"/>
  <c r="AA35" i="7" s="1"/>
  <c r="Y35" i="7"/>
  <c r="S35" i="7"/>
  <c r="N35" i="7"/>
  <c r="M35" i="7"/>
  <c r="L35" i="7"/>
  <c r="J35" i="7"/>
  <c r="H35" i="7"/>
  <c r="F35" i="7"/>
  <c r="Z34" i="7"/>
  <c r="AA34" i="7" s="1"/>
  <c r="Y34" i="7"/>
  <c r="S34" i="7"/>
  <c r="N34" i="7"/>
  <c r="M34" i="7"/>
  <c r="J34" i="7"/>
  <c r="H34" i="7"/>
  <c r="F34" i="7"/>
  <c r="Z33" i="7"/>
  <c r="AA33" i="7" s="1"/>
  <c r="Y33" i="7"/>
  <c r="S33" i="7"/>
  <c r="N33" i="7"/>
  <c r="M33" i="7"/>
  <c r="J33" i="7"/>
  <c r="H33" i="7"/>
  <c r="F33" i="7"/>
  <c r="Z32" i="7"/>
  <c r="AA32" i="7" s="1"/>
  <c r="Y32" i="7"/>
  <c r="S32" i="7"/>
  <c r="N32" i="7"/>
  <c r="M32" i="7"/>
  <c r="J32" i="7"/>
  <c r="H32" i="7"/>
  <c r="F32" i="7"/>
  <c r="Z31" i="7"/>
  <c r="AA31" i="7" s="1"/>
  <c r="Y31" i="7"/>
  <c r="S31" i="7"/>
  <c r="N31" i="7"/>
  <c r="M31" i="7"/>
  <c r="J31" i="7"/>
  <c r="H31" i="7"/>
  <c r="F31" i="7"/>
  <c r="Z30" i="7"/>
  <c r="AA30" i="7" s="1"/>
  <c r="Y30" i="7"/>
  <c r="S30" i="7"/>
  <c r="N30" i="7"/>
  <c r="M30" i="7"/>
  <c r="J30" i="7"/>
  <c r="H30" i="7"/>
  <c r="F30" i="7"/>
  <c r="Z29" i="7"/>
  <c r="AA29" i="7" s="1"/>
  <c r="Y29" i="7"/>
  <c r="S29" i="7"/>
  <c r="N29" i="7"/>
  <c r="M29" i="7"/>
  <c r="J29" i="7"/>
  <c r="H29" i="7"/>
  <c r="F29" i="7"/>
  <c r="Z28" i="7"/>
  <c r="AA28" i="7" s="1"/>
  <c r="Y28" i="7"/>
  <c r="S28" i="7"/>
  <c r="N28" i="7"/>
  <c r="M28" i="7"/>
  <c r="J28" i="7"/>
  <c r="H28" i="7"/>
  <c r="F28" i="7"/>
  <c r="Z27" i="7"/>
  <c r="AA27" i="7" s="1"/>
  <c r="Y27" i="7"/>
  <c r="S27" i="7"/>
  <c r="N27" i="7"/>
  <c r="M27" i="7"/>
  <c r="J27" i="7"/>
  <c r="H27" i="7"/>
  <c r="F27" i="7"/>
  <c r="Z26" i="7"/>
  <c r="AA26" i="7" s="1"/>
  <c r="Y26" i="7"/>
  <c r="S26" i="7"/>
  <c r="N26" i="7"/>
  <c r="M26" i="7"/>
  <c r="J26" i="7"/>
  <c r="H26" i="7"/>
  <c r="F26" i="7"/>
  <c r="Z24" i="7"/>
  <c r="AA24" i="7" s="1"/>
  <c r="Y24" i="7"/>
  <c r="S24" i="7"/>
  <c r="N24" i="7"/>
  <c r="M24" i="7"/>
  <c r="H24" i="7"/>
  <c r="F24" i="7"/>
  <c r="Z23" i="7"/>
  <c r="AA23" i="7" s="1"/>
  <c r="Y23" i="7"/>
  <c r="S23" i="7"/>
  <c r="N23" i="7"/>
  <c r="M23" i="7"/>
  <c r="H23" i="7"/>
  <c r="F23" i="7"/>
  <c r="Z21" i="7"/>
  <c r="AA21" i="7" s="1"/>
  <c r="Y21" i="7"/>
  <c r="S21" i="7"/>
  <c r="N21" i="7"/>
  <c r="M21" i="7"/>
  <c r="H21" i="7"/>
  <c r="F21" i="7"/>
  <c r="Z20" i="7"/>
  <c r="AA20" i="7" s="1"/>
  <c r="Y20" i="7"/>
  <c r="S20" i="7"/>
  <c r="N20" i="7"/>
  <c r="M20" i="7"/>
  <c r="H20" i="7"/>
  <c r="F20" i="7"/>
  <c r="Z19" i="7"/>
  <c r="AA19" i="7" s="1"/>
  <c r="Y19" i="7"/>
  <c r="S19" i="7"/>
  <c r="N19" i="7"/>
  <c r="M19" i="7"/>
  <c r="H19" i="7"/>
  <c r="F19" i="7"/>
  <c r="Z18" i="7"/>
  <c r="AA18" i="7" s="1"/>
  <c r="Y18" i="7"/>
  <c r="X18" i="7"/>
  <c r="N18" i="7"/>
  <c r="M18" i="7"/>
  <c r="H18" i="7"/>
  <c r="F18" i="7"/>
  <c r="Z17" i="7"/>
  <c r="AA17" i="7" s="1"/>
  <c r="Y17" i="7"/>
  <c r="V17" i="7"/>
  <c r="S17" i="7"/>
  <c r="N17" i="7"/>
  <c r="M17" i="7"/>
  <c r="H17" i="7"/>
  <c r="F17" i="7"/>
  <c r="Z16" i="7"/>
  <c r="AA16" i="7" s="1"/>
  <c r="Y16" i="7"/>
  <c r="S16" i="7"/>
  <c r="N16" i="7"/>
  <c r="M16" i="7"/>
  <c r="H16" i="7"/>
  <c r="F16" i="7"/>
  <c r="Z15" i="7"/>
  <c r="AA15" i="7" s="1"/>
  <c r="Y15" i="7"/>
  <c r="S15" i="7"/>
  <c r="N15" i="7"/>
  <c r="M15" i="7"/>
  <c r="H15" i="7"/>
  <c r="F15" i="7"/>
  <c r="AB14" i="7"/>
  <c r="Z14" i="7"/>
  <c r="AA14" i="7" s="1"/>
  <c r="Y14" i="7"/>
  <c r="S14" i="7"/>
  <c r="N14" i="7"/>
  <c r="M14" i="7"/>
  <c r="H14" i="7"/>
  <c r="F14" i="7"/>
  <c r="Z13" i="7"/>
  <c r="AA13" i="7" s="1"/>
  <c r="Y13" i="7"/>
  <c r="S13" i="7"/>
  <c r="N13" i="7"/>
  <c r="M13" i="7"/>
  <c r="H13" i="7"/>
  <c r="F13" i="7"/>
  <c r="Z12" i="7"/>
  <c r="AA12" i="7" s="1"/>
  <c r="Y12" i="7"/>
  <c r="S12" i="7"/>
  <c r="N12" i="7"/>
  <c r="M12" i="7"/>
  <c r="H12" i="7"/>
  <c r="F12" i="7"/>
  <c r="Z10" i="7"/>
  <c r="AA10" i="7" s="1"/>
  <c r="Y10" i="7"/>
  <c r="N10" i="7"/>
  <c r="M10" i="7"/>
  <c r="H10" i="7"/>
  <c r="F10" i="7"/>
  <c r="Z9" i="7"/>
  <c r="AA9" i="7" s="1"/>
  <c r="Y9" i="7"/>
  <c r="N9" i="7"/>
  <c r="M9" i="7"/>
  <c r="H9" i="7"/>
  <c r="F9" i="7"/>
  <c r="Z8" i="7"/>
  <c r="AA8" i="7" s="1"/>
  <c r="Y8" i="7"/>
  <c r="N8" i="7"/>
  <c r="M8" i="7"/>
  <c r="H8" i="7"/>
  <c r="F8" i="7"/>
  <c r="Z7" i="7"/>
  <c r="AA7" i="7" s="1"/>
  <c r="Y7" i="7"/>
  <c r="N7" i="7"/>
  <c r="M7" i="7"/>
  <c r="H7" i="7"/>
  <c r="F7" i="7"/>
  <c r="Z6" i="7"/>
  <c r="AA6" i="7" s="1"/>
  <c r="Y6" i="7"/>
  <c r="N6" i="7"/>
  <c r="M6" i="7"/>
  <c r="H6" i="7"/>
  <c r="F6" i="7"/>
  <c r="Z5" i="7"/>
  <c r="AA5" i="7" s="1"/>
  <c r="Y5" i="7"/>
  <c r="T5" i="7"/>
  <c r="N5" i="7"/>
  <c r="M5" i="7"/>
  <c r="H5" i="7"/>
  <c r="F5" i="7"/>
  <c r="Z4" i="7"/>
  <c r="AA4" i="7" s="1"/>
  <c r="Y4" i="7"/>
  <c r="N4" i="7"/>
  <c r="M4" i="7"/>
  <c r="H4" i="7"/>
  <c r="F4" i="7"/>
  <c r="Z3" i="7"/>
  <c r="AA3" i="7" s="1"/>
  <c r="Y3" i="7"/>
  <c r="N3" i="7"/>
  <c r="M3" i="7"/>
  <c r="H3" i="7"/>
  <c r="F3" i="7"/>
  <c r="X20" i="6"/>
  <c r="Y20" i="6" s="1"/>
  <c r="W20" i="6"/>
  <c r="Q20" i="6"/>
  <c r="L20" i="6"/>
  <c r="K20" i="6"/>
  <c r="F20" i="6"/>
  <c r="D20" i="6"/>
  <c r="X27" i="6"/>
  <c r="Y27" i="6" s="1"/>
  <c r="W27" i="6"/>
  <c r="Q27" i="6"/>
  <c r="L27" i="6"/>
  <c r="K27" i="6"/>
  <c r="H27" i="6"/>
  <c r="F27" i="6"/>
  <c r="D27" i="6"/>
  <c r="X31" i="6"/>
  <c r="Y31" i="6" s="1"/>
  <c r="W31" i="6"/>
  <c r="Q31" i="6"/>
  <c r="L31" i="6"/>
  <c r="K31" i="6"/>
  <c r="H31" i="6"/>
  <c r="F31" i="6"/>
  <c r="D31" i="6"/>
  <c r="X38" i="6"/>
  <c r="Y38" i="6" s="1"/>
  <c r="X37" i="6"/>
  <c r="X35" i="6"/>
  <c r="Y35" i="6" s="1"/>
  <c r="X34" i="6"/>
  <c r="Y34" i="6" s="1"/>
  <c r="X33" i="6"/>
  <c r="X32" i="6"/>
  <c r="Y32" i="6" s="1"/>
  <c r="X30" i="6"/>
  <c r="Y30" i="6" s="1"/>
  <c r="X29" i="6"/>
  <c r="X28" i="6"/>
  <c r="X26" i="6"/>
  <c r="Y26" i="6" s="1"/>
  <c r="X24" i="6"/>
  <c r="Y24" i="6" s="1"/>
  <c r="X23" i="6"/>
  <c r="Y23" i="6" s="1"/>
  <c r="X21" i="6"/>
  <c r="X19" i="6"/>
  <c r="Y19" i="6" s="1"/>
  <c r="X18" i="6"/>
  <c r="X17" i="6"/>
  <c r="X16" i="6"/>
  <c r="Y16" i="6"/>
  <c r="X15" i="6"/>
  <c r="X14" i="6"/>
  <c r="Y14" i="6" s="1"/>
  <c r="X13" i="6"/>
  <c r="Y13" i="6" s="1"/>
  <c r="X12" i="6"/>
  <c r="Y12" i="6" s="1"/>
  <c r="X10" i="6"/>
  <c r="Y10" i="6" s="1"/>
  <c r="X9" i="6"/>
  <c r="Y9" i="6" s="1"/>
  <c r="X8" i="6"/>
  <c r="X7" i="6"/>
  <c r="X6" i="6"/>
  <c r="Y6" i="6" s="1"/>
  <c r="X5" i="6"/>
  <c r="X4" i="6"/>
  <c r="X3" i="6"/>
  <c r="Y3" i="6"/>
  <c r="L38" i="6"/>
  <c r="L37" i="6"/>
  <c r="L35" i="6"/>
  <c r="L34" i="6"/>
  <c r="L33" i="6"/>
  <c r="L32" i="6"/>
  <c r="L30" i="6"/>
  <c r="L29" i="6"/>
  <c r="L28" i="6"/>
  <c r="L26" i="6"/>
  <c r="L24" i="6"/>
  <c r="L23" i="6"/>
  <c r="L21" i="6"/>
  <c r="L19" i="6"/>
  <c r="L18" i="6"/>
  <c r="L17" i="6"/>
  <c r="L16" i="6"/>
  <c r="L15" i="6"/>
  <c r="L14" i="6"/>
  <c r="L13" i="6"/>
  <c r="L12" i="6"/>
  <c r="L10" i="6"/>
  <c r="L9" i="6"/>
  <c r="L8" i="6"/>
  <c r="L7" i="6"/>
  <c r="L6" i="6"/>
  <c r="L5" i="6"/>
  <c r="L4" i="6"/>
  <c r="L3" i="6"/>
  <c r="L35" i="5"/>
  <c r="L34" i="5"/>
  <c r="L32" i="5"/>
  <c r="L31" i="5"/>
  <c r="L30" i="5"/>
  <c r="L29" i="5"/>
  <c r="L28" i="5"/>
  <c r="L27" i="5"/>
  <c r="L26" i="5"/>
  <c r="L25" i="5"/>
  <c r="L23" i="5"/>
  <c r="L22" i="5"/>
  <c r="L20" i="5"/>
  <c r="L19" i="5"/>
  <c r="L18" i="5"/>
  <c r="L17" i="5"/>
  <c r="L16" i="5"/>
  <c r="L15" i="5"/>
  <c r="L14" i="5"/>
  <c r="L13" i="5"/>
  <c r="L12" i="5"/>
  <c r="L10" i="5"/>
  <c r="L9" i="5"/>
  <c r="L8" i="5"/>
  <c r="L7" i="5"/>
  <c r="L6" i="5"/>
  <c r="L5" i="5"/>
  <c r="L4" i="5"/>
  <c r="L3" i="5"/>
  <c r="W38" i="6"/>
  <c r="Q38" i="6"/>
  <c r="K38" i="6"/>
  <c r="F38" i="6"/>
  <c r="D38" i="6"/>
  <c r="Y37" i="6"/>
  <c r="W37" i="6"/>
  <c r="Q37" i="6"/>
  <c r="K37" i="6"/>
  <c r="F37" i="6"/>
  <c r="D37" i="6"/>
  <c r="W35" i="6"/>
  <c r="Q35" i="6"/>
  <c r="K35" i="6"/>
  <c r="J35" i="6"/>
  <c r="H35" i="6"/>
  <c r="F35" i="6"/>
  <c r="D35" i="6"/>
  <c r="W34" i="6"/>
  <c r="Q34" i="6"/>
  <c r="K34" i="6"/>
  <c r="H34" i="6"/>
  <c r="F34" i="6"/>
  <c r="D34" i="6"/>
  <c r="Y33" i="6"/>
  <c r="W33" i="6"/>
  <c r="Q33" i="6"/>
  <c r="K33" i="6"/>
  <c r="H33" i="6"/>
  <c r="F33" i="6"/>
  <c r="D33" i="6"/>
  <c r="W32" i="6"/>
  <c r="Q32" i="6"/>
  <c r="K32" i="6"/>
  <c r="H32" i="6"/>
  <c r="F32" i="6"/>
  <c r="D32" i="6"/>
  <c r="W30" i="6"/>
  <c r="Q30" i="6"/>
  <c r="K30" i="6"/>
  <c r="H30" i="6"/>
  <c r="F30" i="6"/>
  <c r="D30" i="6"/>
  <c r="Y29" i="6"/>
  <c r="W29" i="6"/>
  <c r="Q29" i="6"/>
  <c r="K29" i="6"/>
  <c r="H29" i="6"/>
  <c r="F29" i="6"/>
  <c r="D29" i="6"/>
  <c r="Y28" i="6"/>
  <c r="W28" i="6"/>
  <c r="Q28" i="6"/>
  <c r="K28" i="6"/>
  <c r="H28" i="6"/>
  <c r="F28" i="6"/>
  <c r="D28" i="6"/>
  <c r="W26" i="6"/>
  <c r="Q26" i="6"/>
  <c r="K26" i="6"/>
  <c r="H26" i="6"/>
  <c r="F26" i="6"/>
  <c r="D26" i="6"/>
  <c r="W24" i="6"/>
  <c r="Q24" i="6"/>
  <c r="K24" i="6"/>
  <c r="F24" i="6"/>
  <c r="D24" i="6"/>
  <c r="W23" i="6"/>
  <c r="Q23" i="6"/>
  <c r="K23" i="6"/>
  <c r="F23" i="6"/>
  <c r="D23" i="6"/>
  <c r="Y21" i="6"/>
  <c r="W21" i="6"/>
  <c r="Q21" i="6"/>
  <c r="K21" i="6"/>
  <c r="F21" i="6"/>
  <c r="D21" i="6"/>
  <c r="W19" i="6"/>
  <c r="Q19" i="6"/>
  <c r="K19" i="6"/>
  <c r="F19" i="6"/>
  <c r="D19" i="6"/>
  <c r="Y18" i="6"/>
  <c r="W18" i="6"/>
  <c r="K18" i="6"/>
  <c r="F18" i="6"/>
  <c r="D18" i="6"/>
  <c r="Y17" i="6"/>
  <c r="W17" i="6"/>
  <c r="Q17" i="6"/>
  <c r="K17" i="6"/>
  <c r="F17" i="6"/>
  <c r="D17" i="6"/>
  <c r="W16" i="6"/>
  <c r="Q16" i="6"/>
  <c r="K16" i="6"/>
  <c r="F16" i="6"/>
  <c r="D16" i="6"/>
  <c r="Y15" i="6"/>
  <c r="W15" i="6"/>
  <c r="Q15" i="6"/>
  <c r="K15" i="6"/>
  <c r="F15" i="6"/>
  <c r="D15" i="6"/>
  <c r="W14" i="6"/>
  <c r="Q14" i="6"/>
  <c r="K14" i="6"/>
  <c r="F14" i="6"/>
  <c r="D14" i="6"/>
  <c r="W13" i="6"/>
  <c r="Q13" i="6"/>
  <c r="K13" i="6"/>
  <c r="F13" i="6"/>
  <c r="D13" i="6"/>
  <c r="W12" i="6"/>
  <c r="Q12" i="6"/>
  <c r="K12" i="6"/>
  <c r="F12" i="6"/>
  <c r="D12" i="6"/>
  <c r="W10" i="6"/>
  <c r="K10" i="6"/>
  <c r="F10" i="6"/>
  <c r="D10" i="6"/>
  <c r="W9" i="6"/>
  <c r="K9" i="6"/>
  <c r="F9" i="6"/>
  <c r="D9" i="6"/>
  <c r="Y8" i="6"/>
  <c r="W8" i="6"/>
  <c r="K8" i="6"/>
  <c r="F8" i="6"/>
  <c r="D8" i="6"/>
  <c r="Y7" i="6"/>
  <c r="W7" i="6"/>
  <c r="K7" i="6"/>
  <c r="F7" i="6"/>
  <c r="D7" i="6"/>
  <c r="W6" i="6"/>
  <c r="K6" i="6"/>
  <c r="F6" i="6"/>
  <c r="D6" i="6"/>
  <c r="Y5" i="6"/>
  <c r="W5" i="6"/>
  <c r="K5" i="6"/>
  <c r="F5" i="6"/>
  <c r="D5" i="6"/>
  <c r="Y4" i="6"/>
  <c r="W4" i="6"/>
  <c r="K4" i="6"/>
  <c r="F4" i="6"/>
  <c r="D4" i="6"/>
  <c r="W3" i="6"/>
  <c r="K3" i="6"/>
  <c r="F3" i="6"/>
  <c r="D3" i="6"/>
  <c r="K35" i="5"/>
  <c r="K34" i="5"/>
  <c r="K10" i="5"/>
  <c r="K9" i="5"/>
  <c r="K8" i="5"/>
  <c r="K7" i="5"/>
  <c r="K6" i="5"/>
  <c r="K5" i="5"/>
  <c r="K4" i="5"/>
  <c r="K3" i="5"/>
  <c r="K20" i="5"/>
  <c r="K19" i="5"/>
  <c r="K18" i="5"/>
  <c r="K17" i="5"/>
  <c r="K16" i="5"/>
  <c r="K15" i="5"/>
  <c r="K14" i="5"/>
  <c r="K13" i="5"/>
  <c r="K12" i="5"/>
  <c r="K23" i="5"/>
  <c r="K22" i="5"/>
  <c r="K31" i="5"/>
  <c r="K30" i="5"/>
  <c r="K29" i="5"/>
  <c r="K28" i="5"/>
  <c r="K27" i="5"/>
  <c r="K26" i="5"/>
  <c r="K25" i="5"/>
  <c r="K32" i="5"/>
  <c r="X35" i="5"/>
  <c r="Y35" i="5"/>
  <c r="W35" i="5"/>
  <c r="Q35" i="5"/>
  <c r="F35" i="5"/>
  <c r="D35" i="5"/>
  <c r="X34" i="5"/>
  <c r="Y34" i="5" s="1"/>
  <c r="W34" i="5"/>
  <c r="Q34" i="5"/>
  <c r="F34" i="5"/>
  <c r="D34" i="5"/>
  <c r="X32" i="5"/>
  <c r="Y32" i="5"/>
  <c r="W32" i="5"/>
  <c r="Q32" i="5"/>
  <c r="J32" i="5"/>
  <c r="H32" i="5"/>
  <c r="F32" i="5"/>
  <c r="D32" i="5"/>
  <c r="X31" i="5"/>
  <c r="Y31" i="5"/>
  <c r="W31" i="5"/>
  <c r="Q31" i="5"/>
  <c r="H31" i="5"/>
  <c r="F31" i="5"/>
  <c r="D31" i="5"/>
  <c r="X30" i="5"/>
  <c r="Y30" i="5" s="1"/>
  <c r="W30" i="5"/>
  <c r="Q30" i="5"/>
  <c r="H30" i="5"/>
  <c r="F30" i="5"/>
  <c r="D30" i="5"/>
  <c r="X29" i="5"/>
  <c r="Y29" i="5" s="1"/>
  <c r="W29" i="5"/>
  <c r="Q29" i="5"/>
  <c r="H29" i="5"/>
  <c r="F29" i="5"/>
  <c r="D29" i="5"/>
  <c r="X28" i="5"/>
  <c r="Y28" i="5" s="1"/>
  <c r="W28" i="5"/>
  <c r="Q28" i="5"/>
  <c r="H28" i="5"/>
  <c r="F28" i="5"/>
  <c r="D28" i="5"/>
  <c r="X27" i="5"/>
  <c r="Y27" i="5" s="1"/>
  <c r="W27" i="5"/>
  <c r="Q27" i="5"/>
  <c r="H27" i="5"/>
  <c r="F27" i="5"/>
  <c r="D27" i="5"/>
  <c r="X26" i="5"/>
  <c r="Y26" i="5" s="1"/>
  <c r="W26" i="5"/>
  <c r="Q26" i="5"/>
  <c r="H26" i="5"/>
  <c r="F26" i="5"/>
  <c r="D26" i="5"/>
  <c r="X25" i="5"/>
  <c r="Y25" i="5" s="1"/>
  <c r="W25" i="5"/>
  <c r="Q25" i="5"/>
  <c r="H25" i="5"/>
  <c r="F25" i="5"/>
  <c r="D25" i="5"/>
  <c r="X23" i="5"/>
  <c r="Y23" i="5"/>
  <c r="W23" i="5"/>
  <c r="Q23" i="5"/>
  <c r="F23" i="5"/>
  <c r="D23" i="5"/>
  <c r="X22" i="5"/>
  <c r="Y22" i="5" s="1"/>
  <c r="W22" i="5"/>
  <c r="Q22" i="5"/>
  <c r="F22" i="5"/>
  <c r="D22" i="5"/>
  <c r="X20" i="5"/>
  <c r="Y20" i="5"/>
  <c r="W20" i="5"/>
  <c r="Q20" i="5"/>
  <c r="F20" i="5"/>
  <c r="D20" i="5"/>
  <c r="X19" i="5"/>
  <c r="Y19" i="5" s="1"/>
  <c r="W19" i="5"/>
  <c r="Q19" i="5"/>
  <c r="F19" i="5"/>
  <c r="D19" i="5"/>
  <c r="X18" i="5"/>
  <c r="Y18" i="5" s="1"/>
  <c r="W18" i="5"/>
  <c r="Q18" i="5"/>
  <c r="F18" i="5"/>
  <c r="D18" i="5"/>
  <c r="X17" i="5"/>
  <c r="Y17" i="5" s="1"/>
  <c r="W17" i="5"/>
  <c r="Q17" i="5"/>
  <c r="F17" i="5"/>
  <c r="D17" i="5"/>
  <c r="X16" i="5"/>
  <c r="Y16" i="5" s="1"/>
  <c r="W16" i="5"/>
  <c r="Q16" i="5"/>
  <c r="F16" i="5"/>
  <c r="D16" i="5"/>
  <c r="X15" i="5"/>
  <c r="Y15" i="5" s="1"/>
  <c r="W15" i="5"/>
  <c r="Q15" i="5"/>
  <c r="F15" i="5"/>
  <c r="D15" i="5"/>
  <c r="X14" i="5"/>
  <c r="Y14" i="5"/>
  <c r="W14" i="5"/>
  <c r="Q14" i="5"/>
  <c r="F14" i="5"/>
  <c r="D14" i="5"/>
  <c r="X13" i="5"/>
  <c r="Y13" i="5" s="1"/>
  <c r="W13" i="5"/>
  <c r="Q13" i="5"/>
  <c r="F13" i="5"/>
  <c r="D13" i="5"/>
  <c r="X12" i="5"/>
  <c r="Y12" i="5" s="1"/>
  <c r="W12" i="5"/>
  <c r="Q12" i="5"/>
  <c r="F12" i="5"/>
  <c r="D12" i="5"/>
  <c r="X10" i="5"/>
  <c r="Y10" i="5" s="1"/>
  <c r="W10" i="5"/>
  <c r="F10" i="5"/>
  <c r="D10" i="5"/>
  <c r="X9" i="5"/>
  <c r="Y9" i="5"/>
  <c r="W9" i="5"/>
  <c r="F9" i="5"/>
  <c r="D9" i="5"/>
  <c r="X8" i="5"/>
  <c r="Y8" i="5" s="1"/>
  <c r="W8" i="5"/>
  <c r="F8" i="5"/>
  <c r="D8" i="5"/>
  <c r="X7" i="5"/>
  <c r="Y7" i="5" s="1"/>
  <c r="W7" i="5"/>
  <c r="F7" i="5"/>
  <c r="D7" i="5"/>
  <c r="X6" i="5"/>
  <c r="Y6" i="5" s="1"/>
  <c r="W6" i="5"/>
  <c r="F6" i="5"/>
  <c r="D6" i="5"/>
  <c r="X5" i="5"/>
  <c r="Y5" i="5"/>
  <c r="W5" i="5"/>
  <c r="F5" i="5"/>
  <c r="D5" i="5"/>
  <c r="X4" i="5"/>
  <c r="Y4" i="5" s="1"/>
  <c r="W4" i="5"/>
  <c r="F4" i="5"/>
  <c r="D4" i="5"/>
  <c r="X3" i="5"/>
  <c r="Y3" i="5" s="1"/>
  <c r="W3" i="5"/>
  <c r="F3" i="5"/>
  <c r="D3" i="5"/>
  <c r="K23" i="4"/>
  <c r="K6" i="4"/>
  <c r="W35" i="4"/>
  <c r="X35" i="4" s="1"/>
  <c r="W34" i="4"/>
  <c r="X34" i="4" s="1"/>
  <c r="W32" i="4"/>
  <c r="W31" i="4"/>
  <c r="X31" i="4" s="1"/>
  <c r="W30" i="4"/>
  <c r="W29" i="4"/>
  <c r="X29" i="4" s="1"/>
  <c r="W28" i="4"/>
  <c r="W27" i="4"/>
  <c r="X27" i="4" s="1"/>
  <c r="W26" i="4"/>
  <c r="X26" i="4" s="1"/>
  <c r="W25" i="4"/>
  <c r="X25" i="4" s="1"/>
  <c r="W23" i="4"/>
  <c r="X23" i="4" s="1"/>
  <c r="W22" i="4"/>
  <c r="X22" i="4" s="1"/>
  <c r="W20" i="4"/>
  <c r="X20" i="4"/>
  <c r="W19" i="4"/>
  <c r="X19" i="4" s="1"/>
  <c r="W18" i="4"/>
  <c r="X18" i="4" s="1"/>
  <c r="W17" i="4"/>
  <c r="W16" i="4"/>
  <c r="X16" i="4" s="1"/>
  <c r="W15" i="4"/>
  <c r="X15" i="4" s="1"/>
  <c r="W14" i="4"/>
  <c r="W13" i="4"/>
  <c r="W12" i="4"/>
  <c r="X12" i="4"/>
  <c r="W10" i="4"/>
  <c r="W9" i="4"/>
  <c r="X9" i="4" s="1"/>
  <c r="W8" i="4"/>
  <c r="X8" i="4" s="1"/>
  <c r="W7" i="4"/>
  <c r="X7" i="4" s="1"/>
  <c r="W6" i="4"/>
  <c r="X6" i="4" s="1"/>
  <c r="W5" i="4"/>
  <c r="X5" i="4" s="1"/>
  <c r="W4" i="4"/>
  <c r="W3" i="4"/>
  <c r="X3" i="4" s="1"/>
  <c r="J32" i="4"/>
  <c r="V35" i="4"/>
  <c r="V34" i="4"/>
  <c r="V32" i="4"/>
  <c r="V31" i="4"/>
  <c r="V30" i="4"/>
  <c r="V29" i="4"/>
  <c r="V28" i="4"/>
  <c r="V27" i="4"/>
  <c r="V26" i="4"/>
  <c r="V25" i="4"/>
  <c r="V23" i="4"/>
  <c r="V22" i="4"/>
  <c r="V20" i="4"/>
  <c r="V19" i="4"/>
  <c r="V18" i="4"/>
  <c r="V17" i="4"/>
  <c r="V16" i="4"/>
  <c r="V15" i="4"/>
  <c r="V14" i="4"/>
  <c r="V13" i="4"/>
  <c r="V12" i="4"/>
  <c r="V10" i="4"/>
  <c r="V9" i="4"/>
  <c r="V8" i="4"/>
  <c r="V7" i="4"/>
  <c r="V6" i="4"/>
  <c r="V5" i="4"/>
  <c r="V4" i="4"/>
  <c r="V3" i="4"/>
  <c r="P35" i="4"/>
  <c r="P34" i="4"/>
  <c r="P32" i="4"/>
  <c r="P31" i="4"/>
  <c r="P30" i="4"/>
  <c r="P29" i="4"/>
  <c r="P28" i="4"/>
  <c r="P27" i="4"/>
  <c r="P26" i="4"/>
  <c r="P25" i="4"/>
  <c r="P23" i="4"/>
  <c r="P22" i="4"/>
  <c r="P20" i="4"/>
  <c r="P19" i="4"/>
  <c r="P18" i="4"/>
  <c r="P17" i="4"/>
  <c r="P16" i="4"/>
  <c r="P15" i="4"/>
  <c r="P14" i="4"/>
  <c r="P13" i="4"/>
  <c r="P12" i="4"/>
  <c r="K34" i="4"/>
  <c r="D31" i="4"/>
  <c r="D29" i="4"/>
  <c r="D27" i="4"/>
  <c r="D19" i="4"/>
  <c r="D17" i="4"/>
  <c r="K15" i="4"/>
  <c r="F35" i="4"/>
  <c r="D35" i="4"/>
  <c r="F34" i="4"/>
  <c r="D34" i="4"/>
  <c r="X32" i="4"/>
  <c r="H32" i="4"/>
  <c r="F32" i="4"/>
  <c r="D32" i="4"/>
  <c r="H31" i="4"/>
  <c r="F31" i="4"/>
  <c r="X30" i="4"/>
  <c r="H30" i="4"/>
  <c r="F30" i="4"/>
  <c r="D30" i="4"/>
  <c r="H29" i="4"/>
  <c r="F29" i="4"/>
  <c r="X28" i="4"/>
  <c r="H28" i="4"/>
  <c r="F28" i="4"/>
  <c r="D28" i="4"/>
  <c r="H27" i="4"/>
  <c r="F27" i="4"/>
  <c r="H26" i="4"/>
  <c r="F26" i="4"/>
  <c r="D26" i="4"/>
  <c r="H25" i="4"/>
  <c r="F25" i="4"/>
  <c r="D25" i="4"/>
  <c r="F23" i="4"/>
  <c r="D23" i="4"/>
  <c r="F22" i="4"/>
  <c r="D22" i="4"/>
  <c r="K22" i="4"/>
  <c r="F20" i="4"/>
  <c r="D20" i="4"/>
  <c r="F19" i="4"/>
  <c r="F18" i="4"/>
  <c r="D18" i="4"/>
  <c r="X17" i="4"/>
  <c r="F17" i="4"/>
  <c r="F16" i="4"/>
  <c r="D16" i="4"/>
  <c r="F15" i="4"/>
  <c r="D15" i="4"/>
  <c r="X14" i="4"/>
  <c r="F14" i="4"/>
  <c r="D14" i="4"/>
  <c r="K14" i="4"/>
  <c r="X13" i="4"/>
  <c r="F13" i="4"/>
  <c r="D13" i="4"/>
  <c r="F12" i="4"/>
  <c r="D12" i="4"/>
  <c r="X10" i="4"/>
  <c r="F10" i="4"/>
  <c r="D10" i="4"/>
  <c r="K10" i="4"/>
  <c r="F9" i="4"/>
  <c r="D9" i="4"/>
  <c r="F8" i="4"/>
  <c r="D8" i="4"/>
  <c r="K8" i="4"/>
  <c r="F7" i="4"/>
  <c r="D7" i="4"/>
  <c r="F6" i="4"/>
  <c r="D6" i="4"/>
  <c r="F5" i="4"/>
  <c r="D5" i="4"/>
  <c r="X4" i="4"/>
  <c r="F4" i="4"/>
  <c r="D4" i="4"/>
  <c r="F3" i="4"/>
  <c r="D3" i="4"/>
  <c r="Y35" i="3"/>
  <c r="Y34" i="3"/>
  <c r="AB37" i="8" s="1"/>
  <c r="Y32" i="3"/>
  <c r="Y31" i="3"/>
  <c r="AB34" i="8" s="1"/>
  <c r="Y30" i="3"/>
  <c r="Y29" i="3"/>
  <c r="AB32" i="8" s="1"/>
  <c r="Z32" i="6"/>
  <c r="Y28" i="3"/>
  <c r="AB30" i="7" s="1"/>
  <c r="Y27" i="3"/>
  <c r="AB29" i="8" s="1"/>
  <c r="Y26" i="3"/>
  <c r="Y25" i="3"/>
  <c r="AB26" i="8" s="1"/>
  <c r="Y23" i="3"/>
  <c r="Y22" i="3"/>
  <c r="AB23" i="8" s="1"/>
  <c r="Z23" i="6"/>
  <c r="Y20" i="3"/>
  <c r="Y19" i="3"/>
  <c r="AB19" i="7" s="1"/>
  <c r="Z20" i="6"/>
  <c r="Y18" i="3"/>
  <c r="Y17" i="3"/>
  <c r="AB17" i="8" s="1"/>
  <c r="Y16" i="3"/>
  <c r="Y15" i="3"/>
  <c r="AB15" i="8" s="1"/>
  <c r="Y14" i="3"/>
  <c r="Z14" i="5" s="1"/>
  <c r="Y13" i="3"/>
  <c r="AB13" i="8" s="1"/>
  <c r="Y12" i="3"/>
  <c r="Y10" i="3"/>
  <c r="AB10" i="8" s="1"/>
  <c r="Z10" i="6"/>
  <c r="Y9" i="3"/>
  <c r="Y8" i="3"/>
  <c r="AB8" i="8" s="1"/>
  <c r="Y7" i="3"/>
  <c r="Y6" i="3"/>
  <c r="AB6" i="8" s="1"/>
  <c r="Y5" i="3"/>
  <c r="Z5" i="5" s="1"/>
  <c r="Y4" i="3"/>
  <c r="AB4" i="8" s="1"/>
  <c r="Z4" i="6"/>
  <c r="Y3" i="3"/>
  <c r="W34" i="3"/>
  <c r="X34" i="3"/>
  <c r="W31" i="3"/>
  <c r="W30" i="3"/>
  <c r="W29" i="3"/>
  <c r="X29" i="3" s="1"/>
  <c r="W28" i="3"/>
  <c r="X28" i="3" s="1"/>
  <c r="W27" i="3"/>
  <c r="W26" i="3"/>
  <c r="X26" i="3"/>
  <c r="W25" i="3"/>
  <c r="W22" i="3"/>
  <c r="W20" i="3"/>
  <c r="X20" i="3" s="1"/>
  <c r="W18" i="3"/>
  <c r="X18" i="3" s="1"/>
  <c r="W17" i="3"/>
  <c r="W15" i="3"/>
  <c r="X15" i="3" s="1"/>
  <c r="W14" i="3"/>
  <c r="X14" i="3" s="1"/>
  <c r="W13" i="3"/>
  <c r="X13" i="3" s="1"/>
  <c r="W12" i="3"/>
  <c r="X12" i="3" s="1"/>
  <c r="W10" i="3"/>
  <c r="W6" i="3"/>
  <c r="W5" i="3"/>
  <c r="X5" i="3"/>
  <c r="W4" i="3"/>
  <c r="X4" i="3" s="1"/>
  <c r="W3" i="3"/>
  <c r="X3" i="3" s="1"/>
  <c r="U35" i="3"/>
  <c r="T35" i="3"/>
  <c r="S35" i="3"/>
  <c r="T38" i="6" s="1"/>
  <c r="R35" i="3"/>
  <c r="U38" i="8" s="1"/>
  <c r="Q35" i="3"/>
  <c r="U34" i="3"/>
  <c r="V37" i="6" s="1"/>
  <c r="T34" i="3"/>
  <c r="S34" i="3"/>
  <c r="V37" i="8" s="1"/>
  <c r="T34" i="5"/>
  <c r="R34" i="3"/>
  <c r="U37" i="8" s="1"/>
  <c r="Q34" i="3"/>
  <c r="U32" i="3"/>
  <c r="X35" i="8" s="1"/>
  <c r="V32" i="5"/>
  <c r="T32" i="3"/>
  <c r="S32" i="3"/>
  <c r="V35" i="8" s="1"/>
  <c r="R32" i="3"/>
  <c r="S35" i="6"/>
  <c r="Q32" i="3"/>
  <c r="T35" i="8" s="1"/>
  <c r="R35" i="6"/>
  <c r="Q32" i="4"/>
  <c r="U31" i="3"/>
  <c r="T31" i="3"/>
  <c r="S31" i="3"/>
  <c r="T34" i="6" s="1"/>
  <c r="R31" i="3"/>
  <c r="U34" i="8" s="1"/>
  <c r="S31" i="5"/>
  <c r="Q31" i="3"/>
  <c r="U30" i="3"/>
  <c r="X33" i="8" s="1"/>
  <c r="T30" i="3"/>
  <c r="S30" i="3"/>
  <c r="V33" i="8" s="1"/>
  <c r="R30" i="3"/>
  <c r="S33" i="6" s="1"/>
  <c r="Q30" i="3"/>
  <c r="T33" i="8" s="1"/>
  <c r="U29" i="3"/>
  <c r="T29" i="3"/>
  <c r="S29" i="3"/>
  <c r="V32" i="8" s="1"/>
  <c r="R29" i="3"/>
  <c r="U32" i="8" s="1"/>
  <c r="Q29" i="3"/>
  <c r="T32" i="8" s="1"/>
  <c r="U28" i="3"/>
  <c r="X31" i="7" s="1"/>
  <c r="T28" i="3"/>
  <c r="S28" i="3"/>
  <c r="R28" i="3"/>
  <c r="U30" i="7" s="1"/>
  <c r="Q28" i="3"/>
  <c r="R30" i="6" s="1"/>
  <c r="U27" i="3"/>
  <c r="X29" i="8" s="1"/>
  <c r="T27" i="3"/>
  <c r="S27" i="3"/>
  <c r="V29" i="8" s="1"/>
  <c r="T27" i="5"/>
  <c r="R27" i="3"/>
  <c r="Q27" i="3"/>
  <c r="T29" i="7" s="1"/>
  <c r="U26" i="3"/>
  <c r="X27" i="7" s="1"/>
  <c r="T26" i="3"/>
  <c r="S26" i="3"/>
  <c r="T27" i="6" s="1"/>
  <c r="R26" i="3"/>
  <c r="U28" i="7" s="1"/>
  <c r="Q26" i="3"/>
  <c r="T27" i="7" s="1"/>
  <c r="U25" i="3"/>
  <c r="V25" i="5" s="1"/>
  <c r="T25" i="3"/>
  <c r="S25" i="3"/>
  <c r="S25" i="4" s="1"/>
  <c r="R25" i="3"/>
  <c r="U26" i="8" s="1"/>
  <c r="Q25" i="3"/>
  <c r="T26" i="8" s="1"/>
  <c r="U23" i="3"/>
  <c r="X24" i="8" s="1"/>
  <c r="T23" i="3"/>
  <c r="S23" i="3"/>
  <c r="R23" i="3"/>
  <c r="U24" i="8" s="1"/>
  <c r="S24" i="6"/>
  <c r="Q23" i="3"/>
  <c r="T24" i="8" s="1"/>
  <c r="U22" i="3"/>
  <c r="T22" i="3"/>
  <c r="S22" i="3"/>
  <c r="R22" i="3"/>
  <c r="U23" i="8" s="1"/>
  <c r="Q22" i="3"/>
  <c r="U20" i="3"/>
  <c r="X21" i="8" s="1"/>
  <c r="T20" i="3"/>
  <c r="S20" i="3"/>
  <c r="V21" i="8" s="1"/>
  <c r="R20" i="3"/>
  <c r="U21" i="8" s="1"/>
  <c r="S21" i="6"/>
  <c r="Q20" i="3"/>
  <c r="U19" i="3"/>
  <c r="V20" i="6" s="1"/>
  <c r="T19" i="3"/>
  <c r="S19" i="3"/>
  <c r="V19" i="7" s="1"/>
  <c r="T20" i="6"/>
  <c r="R19" i="3"/>
  <c r="U20" i="7" s="1"/>
  <c r="Q19" i="3"/>
  <c r="R20" i="6" s="1"/>
  <c r="U18" i="3"/>
  <c r="X18" i="8" s="1"/>
  <c r="T18" i="3"/>
  <c r="S18" i="3"/>
  <c r="R18" i="3"/>
  <c r="U18" i="8" s="1"/>
  <c r="Q18" i="3"/>
  <c r="U17" i="3"/>
  <c r="X17" i="8" s="1"/>
  <c r="T17" i="3"/>
  <c r="S17" i="3"/>
  <c r="V17" i="8" s="1"/>
  <c r="R17" i="3"/>
  <c r="Q17" i="3"/>
  <c r="T17" i="8" s="1"/>
  <c r="U16" i="3"/>
  <c r="X16" i="8" s="1"/>
  <c r="T16" i="3"/>
  <c r="S16" i="3"/>
  <c r="R16" i="3"/>
  <c r="U16" i="8" s="1"/>
  <c r="S16" i="6"/>
  <c r="S16" i="5"/>
  <c r="Q16" i="3"/>
  <c r="T16" i="8" s="1"/>
  <c r="R16" i="6"/>
  <c r="U15" i="3"/>
  <c r="X15" i="8" s="1"/>
  <c r="T15" i="3"/>
  <c r="S15" i="3"/>
  <c r="S15" i="4" s="1"/>
  <c r="R15" i="3"/>
  <c r="U15" i="8" s="1"/>
  <c r="Q15" i="3"/>
  <c r="T15" i="8" s="1"/>
  <c r="R15" i="5"/>
  <c r="U14" i="3"/>
  <c r="T14" i="3"/>
  <c r="S14" i="3"/>
  <c r="V14" i="8" s="1"/>
  <c r="R14" i="3"/>
  <c r="R14" i="4" s="1"/>
  <c r="Q14" i="3"/>
  <c r="T14" i="8" s="1"/>
  <c r="U13" i="3"/>
  <c r="X13" i="7" s="1"/>
  <c r="T13" i="3"/>
  <c r="S13" i="3"/>
  <c r="V13" i="8" s="1"/>
  <c r="R13" i="3"/>
  <c r="U13" i="8" s="1"/>
  <c r="S13" i="6"/>
  <c r="Q13" i="3"/>
  <c r="R13" i="6" s="1"/>
  <c r="U12" i="3"/>
  <c r="X12" i="8" s="1"/>
  <c r="T12" i="3"/>
  <c r="S12" i="3"/>
  <c r="R12" i="3"/>
  <c r="U12" i="8" s="1"/>
  <c r="R12" i="4"/>
  <c r="Q12" i="3"/>
  <c r="Q12" i="4" s="1"/>
  <c r="U10" i="3"/>
  <c r="T10" i="3"/>
  <c r="S10" i="3"/>
  <c r="R10" i="3"/>
  <c r="U10" i="8" s="1"/>
  <c r="Q10" i="3"/>
  <c r="T10" i="7" s="1"/>
  <c r="U9" i="3"/>
  <c r="V9" i="5" s="1"/>
  <c r="T9" i="3"/>
  <c r="S9" i="3"/>
  <c r="V9" i="8" s="1"/>
  <c r="T9" i="6"/>
  <c r="T9" i="5"/>
  <c r="R9" i="3"/>
  <c r="U9" i="8" s="1"/>
  <c r="S9" i="5"/>
  <c r="Q9" i="3"/>
  <c r="R9" i="6" s="1"/>
  <c r="U8" i="3"/>
  <c r="X8" i="8" s="1"/>
  <c r="V8" i="5"/>
  <c r="T8" i="3"/>
  <c r="S8" i="3"/>
  <c r="V8" i="8" s="1"/>
  <c r="T8" i="6"/>
  <c r="T8" i="5"/>
  <c r="R8" i="3"/>
  <c r="U8" i="8" s="1"/>
  <c r="S8" i="6"/>
  <c r="Q8" i="3"/>
  <c r="T8" i="7" s="1"/>
  <c r="U7" i="3"/>
  <c r="X7" i="8" s="1"/>
  <c r="T7" i="3"/>
  <c r="S7" i="3"/>
  <c r="V7" i="8" s="1"/>
  <c r="R7" i="3"/>
  <c r="Q7" i="3"/>
  <c r="R7" i="6"/>
  <c r="U6" i="3"/>
  <c r="X6" i="8" s="1"/>
  <c r="T6" i="3"/>
  <c r="S6" i="3"/>
  <c r="V6" i="8" s="1"/>
  <c r="R6" i="3"/>
  <c r="Q6" i="3"/>
  <c r="T6" i="8" s="1"/>
  <c r="U5" i="3"/>
  <c r="X5" i="8" s="1"/>
  <c r="T5" i="3"/>
  <c r="S5" i="3"/>
  <c r="V5" i="8" s="1"/>
  <c r="T5" i="6"/>
  <c r="R5" i="3"/>
  <c r="U5" i="8" s="1"/>
  <c r="Q5" i="3"/>
  <c r="T5" i="8" s="1"/>
  <c r="R5" i="6"/>
  <c r="U4" i="3"/>
  <c r="T4" i="3"/>
  <c r="S4" i="3"/>
  <c r="T4" i="6" s="1"/>
  <c r="R4" i="3"/>
  <c r="U4" i="8" s="1"/>
  <c r="Q4" i="3"/>
  <c r="T4" i="8" s="1"/>
  <c r="R4" i="6"/>
  <c r="U3" i="3"/>
  <c r="X3" i="8" s="1"/>
  <c r="T3" i="3"/>
  <c r="S3" i="3"/>
  <c r="R3" i="3"/>
  <c r="U3" i="8" s="1"/>
  <c r="Q3" i="3"/>
  <c r="Q3" i="4"/>
  <c r="O35" i="3"/>
  <c r="R38" i="7" s="1"/>
  <c r="O34" i="3"/>
  <c r="R37" i="8" s="1"/>
  <c r="P34" i="5"/>
  <c r="O32" i="3"/>
  <c r="R35" i="8" s="1"/>
  <c r="P35" i="6"/>
  <c r="O31" i="3"/>
  <c r="P34" i="6" s="1"/>
  <c r="O30" i="3"/>
  <c r="R33" i="8" s="1"/>
  <c r="O29" i="3"/>
  <c r="R32" i="8" s="1"/>
  <c r="O28" i="3"/>
  <c r="R30" i="7" s="1"/>
  <c r="O27" i="3"/>
  <c r="R29" i="8" s="1"/>
  <c r="P27" i="5"/>
  <c r="O26" i="3"/>
  <c r="R28" i="8" s="1"/>
  <c r="O25" i="3"/>
  <c r="O23" i="3"/>
  <c r="R24" i="8" s="1"/>
  <c r="O22" i="3"/>
  <c r="O20" i="3"/>
  <c r="R21" i="8" s="1"/>
  <c r="O19" i="3"/>
  <c r="R19" i="7" s="1"/>
  <c r="O18" i="3"/>
  <c r="R18" i="8" s="1"/>
  <c r="O17" i="3"/>
  <c r="R17" i="8" s="1"/>
  <c r="P17" i="6"/>
  <c r="O16" i="3"/>
  <c r="O15" i="3"/>
  <c r="R15" i="8" s="1"/>
  <c r="P15" i="6"/>
  <c r="O14" i="3"/>
  <c r="R14" i="8" s="1"/>
  <c r="O13" i="3"/>
  <c r="R13" i="8" s="1"/>
  <c r="P13" i="6"/>
  <c r="O12" i="3"/>
  <c r="O10" i="3"/>
  <c r="R10" i="8" s="1"/>
  <c r="O9" i="3"/>
  <c r="O8" i="3"/>
  <c r="R8" i="8" s="1"/>
  <c r="O7" i="3"/>
  <c r="O6" i="3"/>
  <c r="R6" i="8" s="1"/>
  <c r="O5" i="3"/>
  <c r="O5" i="4" s="1"/>
  <c r="O4" i="3"/>
  <c r="R4" i="8" s="1"/>
  <c r="O3" i="3"/>
  <c r="O3" i="4" s="1"/>
  <c r="N35" i="3"/>
  <c r="N34" i="3"/>
  <c r="N32" i="3"/>
  <c r="N31" i="3"/>
  <c r="N30" i="3"/>
  <c r="N29" i="3"/>
  <c r="N28" i="3"/>
  <c r="N27" i="3"/>
  <c r="N26" i="3"/>
  <c r="N25" i="3"/>
  <c r="N23" i="3"/>
  <c r="N22" i="3"/>
  <c r="N20" i="3"/>
  <c r="N19" i="3"/>
  <c r="N17" i="3"/>
  <c r="N16" i="3"/>
  <c r="N15" i="3"/>
  <c r="N14" i="3"/>
  <c r="N13" i="3"/>
  <c r="N12" i="3"/>
  <c r="M35" i="3"/>
  <c r="M34" i="3"/>
  <c r="M32" i="3"/>
  <c r="M31" i="3"/>
  <c r="M30" i="3"/>
  <c r="M29" i="3"/>
  <c r="M28" i="3"/>
  <c r="M27" i="3"/>
  <c r="M26" i="3"/>
  <c r="M25" i="3"/>
  <c r="M23" i="3"/>
  <c r="M22" i="3"/>
  <c r="M20" i="3"/>
  <c r="M19" i="3"/>
  <c r="M18" i="3"/>
  <c r="M17" i="3"/>
  <c r="M16" i="3"/>
  <c r="M15" i="3"/>
  <c r="M14" i="3"/>
  <c r="M13" i="3"/>
  <c r="M12" i="3"/>
  <c r="I32" i="3"/>
  <c r="J32" i="3"/>
  <c r="G32" i="3"/>
  <c r="G31" i="3"/>
  <c r="H31" i="3" s="1"/>
  <c r="G30" i="3"/>
  <c r="H30" i="3" s="1"/>
  <c r="G29" i="3"/>
  <c r="H29" i="3" s="1"/>
  <c r="G28" i="3"/>
  <c r="G27" i="3"/>
  <c r="H27" i="3" s="1"/>
  <c r="G26" i="3"/>
  <c r="G25" i="3"/>
  <c r="H25" i="3" s="1"/>
  <c r="E35" i="3"/>
  <c r="F35" i="3"/>
  <c r="E34" i="3"/>
  <c r="F34" i="3" s="1"/>
  <c r="E32" i="3"/>
  <c r="E31" i="3"/>
  <c r="F31" i="3"/>
  <c r="E30" i="3"/>
  <c r="E29" i="3"/>
  <c r="F29" i="3"/>
  <c r="E28" i="3"/>
  <c r="E27" i="3"/>
  <c r="F27" i="3"/>
  <c r="E26" i="3"/>
  <c r="F26" i="3" s="1"/>
  <c r="E25" i="3"/>
  <c r="F25" i="3" s="1"/>
  <c r="E23" i="3"/>
  <c r="F23" i="3" s="1"/>
  <c r="E22" i="3"/>
  <c r="F22" i="3" s="1"/>
  <c r="E20" i="3"/>
  <c r="F20" i="3"/>
  <c r="E19" i="3"/>
  <c r="K19" i="3"/>
  <c r="E18" i="3"/>
  <c r="F18" i="3" s="1"/>
  <c r="E17" i="3"/>
  <c r="F17" i="3" s="1"/>
  <c r="E16" i="3"/>
  <c r="F16" i="3" s="1"/>
  <c r="E15" i="3"/>
  <c r="F15" i="3" s="1"/>
  <c r="E14" i="3"/>
  <c r="F14" i="3"/>
  <c r="E13" i="3"/>
  <c r="F13" i="3" s="1"/>
  <c r="E12" i="3"/>
  <c r="F12" i="3"/>
  <c r="E10" i="3"/>
  <c r="F10" i="3" s="1"/>
  <c r="E9" i="3"/>
  <c r="F9" i="3" s="1"/>
  <c r="E8" i="3"/>
  <c r="F8" i="3" s="1"/>
  <c r="E7" i="3"/>
  <c r="F7" i="3"/>
  <c r="E6" i="3"/>
  <c r="E5" i="3"/>
  <c r="E4" i="3"/>
  <c r="E3" i="3"/>
  <c r="F3" i="3" s="1"/>
  <c r="C34" i="3"/>
  <c r="D34" i="3" s="1"/>
  <c r="C32" i="3"/>
  <c r="C31" i="3"/>
  <c r="D31" i="3" s="1"/>
  <c r="C30" i="3"/>
  <c r="D30" i="3" s="1"/>
  <c r="C29" i="3"/>
  <c r="D29" i="3" s="1"/>
  <c r="C28" i="3"/>
  <c r="C27" i="3"/>
  <c r="K27" i="3" s="1"/>
  <c r="D27" i="3"/>
  <c r="C26" i="3"/>
  <c r="C25" i="3"/>
  <c r="D25" i="3"/>
  <c r="C23" i="3"/>
  <c r="D23" i="3" s="1"/>
  <c r="C22" i="3"/>
  <c r="D22" i="3" s="1"/>
  <c r="C20" i="3"/>
  <c r="D20" i="3" s="1"/>
  <c r="C18" i="3"/>
  <c r="K18" i="3" s="1"/>
  <c r="C17" i="3"/>
  <c r="K17" i="3" s="1"/>
  <c r="C16" i="3"/>
  <c r="D16" i="3"/>
  <c r="C15" i="3"/>
  <c r="C14" i="3"/>
  <c r="K14" i="3" s="1"/>
  <c r="C13" i="3"/>
  <c r="D13" i="3"/>
  <c r="C12" i="3"/>
  <c r="D12" i="3" s="1"/>
  <c r="C10" i="3"/>
  <c r="K10" i="3" s="1"/>
  <c r="C9" i="3"/>
  <c r="K9" i="3" s="1"/>
  <c r="C8" i="3"/>
  <c r="K8" i="3"/>
  <c r="C7" i="3"/>
  <c r="K7" i="3" s="1"/>
  <c r="C6" i="3"/>
  <c r="K6" i="3" s="1"/>
  <c r="C5" i="3"/>
  <c r="D5" i="3" s="1"/>
  <c r="C4" i="3"/>
  <c r="D4" i="3"/>
  <c r="C3" i="3"/>
  <c r="K3" i="3" s="1"/>
  <c r="F4" i="3"/>
  <c r="F5" i="3"/>
  <c r="X6" i="3"/>
  <c r="X7" i="3"/>
  <c r="X8" i="3"/>
  <c r="X9" i="3"/>
  <c r="X10" i="3"/>
  <c r="X16" i="3"/>
  <c r="X17" i="3"/>
  <c r="D19" i="3"/>
  <c r="X19" i="3"/>
  <c r="X22" i="3"/>
  <c r="X23" i="3"/>
  <c r="X25" i="3"/>
  <c r="H26" i="3"/>
  <c r="X27" i="3"/>
  <c r="H28" i="3"/>
  <c r="X30" i="3"/>
  <c r="X31" i="3"/>
  <c r="F32" i="3"/>
  <c r="X32" i="3"/>
  <c r="D35" i="3"/>
  <c r="K35" i="3"/>
  <c r="X35" i="3"/>
  <c r="D6" i="2"/>
  <c r="W32" i="2"/>
  <c r="W31" i="2"/>
  <c r="W30" i="2"/>
  <c r="W29" i="2"/>
  <c r="W28" i="2"/>
  <c r="W27" i="2"/>
  <c r="W26" i="2"/>
  <c r="W25" i="2"/>
  <c r="W23" i="2"/>
  <c r="W22" i="2"/>
  <c r="W20" i="2"/>
  <c r="W19" i="2"/>
  <c r="W18" i="2"/>
  <c r="W17" i="2"/>
  <c r="W16" i="2"/>
  <c r="W15" i="2"/>
  <c r="W14" i="2"/>
  <c r="W13" i="2"/>
  <c r="W12" i="2"/>
  <c r="W10" i="2"/>
  <c r="W9" i="2"/>
  <c r="W8" i="2"/>
  <c r="W7" i="2"/>
  <c r="W6" i="2"/>
  <c r="W5" i="2"/>
  <c r="W4" i="2"/>
  <c r="K32" i="2"/>
  <c r="K31" i="2"/>
  <c r="K30" i="2"/>
  <c r="K29" i="2"/>
  <c r="K28" i="2"/>
  <c r="K27" i="2"/>
  <c r="K26" i="2"/>
  <c r="K4" i="2"/>
  <c r="K5" i="2"/>
  <c r="K6" i="2"/>
  <c r="K7" i="2"/>
  <c r="K8" i="2"/>
  <c r="K3" i="2"/>
  <c r="H32" i="2"/>
  <c r="H31" i="2"/>
  <c r="H30" i="2"/>
  <c r="H29" i="2"/>
  <c r="H28" i="2"/>
  <c r="H27" i="2"/>
  <c r="H26" i="2"/>
  <c r="F32" i="2"/>
  <c r="F31" i="2"/>
  <c r="F30" i="2"/>
  <c r="F29" i="2"/>
  <c r="F28" i="2"/>
  <c r="F27" i="2"/>
  <c r="F26" i="2"/>
  <c r="F25" i="2"/>
  <c r="F23" i="2"/>
  <c r="F22" i="2"/>
  <c r="F20" i="2"/>
  <c r="F19" i="2"/>
  <c r="F18" i="2"/>
  <c r="F17" i="2"/>
  <c r="F16" i="2"/>
  <c r="F15" i="2"/>
  <c r="F14" i="2"/>
  <c r="F13" i="2"/>
  <c r="F12" i="2"/>
  <c r="F10" i="2"/>
  <c r="F9" i="2"/>
  <c r="F8" i="2"/>
  <c r="F7" i="2"/>
  <c r="F6" i="2"/>
  <c r="F5" i="2"/>
  <c r="F4" i="2"/>
  <c r="D31" i="2"/>
  <c r="D30" i="2"/>
  <c r="D14" i="2"/>
  <c r="K14" i="2"/>
  <c r="D13" i="2"/>
  <c r="K13" i="2"/>
  <c r="D8" i="2"/>
  <c r="D3" i="2"/>
  <c r="F3" i="2"/>
  <c r="W3" i="2"/>
  <c r="D4" i="2"/>
  <c r="D5" i="2"/>
  <c r="D7" i="2"/>
  <c r="D9" i="2"/>
  <c r="K9" i="2"/>
  <c r="D10" i="2"/>
  <c r="K10" i="2"/>
  <c r="D12" i="2"/>
  <c r="K12" i="2"/>
  <c r="D15" i="2"/>
  <c r="K15" i="2"/>
  <c r="D16" i="2"/>
  <c r="K16" i="2"/>
  <c r="D17" i="2"/>
  <c r="K17" i="2"/>
  <c r="D18" i="2"/>
  <c r="K18" i="2"/>
  <c r="D19" i="2"/>
  <c r="K19" i="2"/>
  <c r="D20" i="2"/>
  <c r="K20" i="2"/>
  <c r="D22" i="2"/>
  <c r="K22" i="2"/>
  <c r="D23" i="2"/>
  <c r="K23" i="2"/>
  <c r="D25" i="2"/>
  <c r="H25" i="2"/>
  <c r="K25" i="2"/>
  <c r="D26" i="2"/>
  <c r="D27" i="2"/>
  <c r="D28" i="2"/>
  <c r="D29" i="2"/>
  <c r="D32" i="2"/>
  <c r="J32" i="2"/>
  <c r="D34" i="2"/>
  <c r="F34" i="2"/>
  <c r="K34" i="2"/>
  <c r="W34" i="2"/>
  <c r="D35" i="2"/>
  <c r="F35" i="2"/>
  <c r="K35" i="2"/>
  <c r="W35" i="2"/>
  <c r="D3" i="1"/>
  <c r="F3" i="1"/>
  <c r="K3" i="1"/>
  <c r="Q3" i="1"/>
  <c r="D4" i="1"/>
  <c r="F4" i="1"/>
  <c r="K4" i="1"/>
  <c r="Q4" i="1"/>
  <c r="D5" i="1"/>
  <c r="F5" i="1"/>
  <c r="K5" i="1"/>
  <c r="Q5" i="1"/>
  <c r="D6" i="1"/>
  <c r="F6" i="1"/>
  <c r="K6" i="1"/>
  <c r="Q6" i="1"/>
  <c r="D7" i="1"/>
  <c r="F7" i="1"/>
  <c r="K7" i="1"/>
  <c r="Q7" i="1"/>
  <c r="D8" i="1"/>
  <c r="F8" i="1"/>
  <c r="K8" i="1"/>
  <c r="Q8" i="1"/>
  <c r="D10" i="1"/>
  <c r="F10" i="1"/>
  <c r="K10" i="1"/>
  <c r="Q10" i="1"/>
  <c r="D11" i="1"/>
  <c r="F11" i="1"/>
  <c r="K11" i="1"/>
  <c r="Q11" i="1"/>
  <c r="D12" i="1"/>
  <c r="F12" i="1"/>
  <c r="K12" i="1"/>
  <c r="Q12" i="1"/>
  <c r="D13" i="1"/>
  <c r="F13" i="1"/>
  <c r="K13" i="1"/>
  <c r="Q13" i="1"/>
  <c r="D14" i="1"/>
  <c r="F14" i="1"/>
  <c r="K14" i="1"/>
  <c r="Q14" i="1"/>
  <c r="D15" i="1"/>
  <c r="F15" i="1"/>
  <c r="K15" i="1"/>
  <c r="Q15" i="1"/>
  <c r="D16" i="1"/>
  <c r="F16" i="1"/>
  <c r="K16" i="1"/>
  <c r="Q16" i="1"/>
  <c r="D18" i="1"/>
  <c r="F18" i="1"/>
  <c r="K18" i="1"/>
  <c r="Q18" i="1"/>
  <c r="D19" i="1"/>
  <c r="F19" i="1"/>
  <c r="K19" i="1"/>
  <c r="Q19" i="1"/>
  <c r="D21" i="1"/>
  <c r="F21" i="1"/>
  <c r="H21" i="1"/>
  <c r="K21" i="1"/>
  <c r="Q21" i="1"/>
  <c r="D22" i="1"/>
  <c r="F22" i="1"/>
  <c r="H22" i="1"/>
  <c r="K22" i="1"/>
  <c r="Q22" i="1"/>
  <c r="D23" i="1"/>
  <c r="F23" i="1"/>
  <c r="H23" i="1"/>
  <c r="K23" i="1"/>
  <c r="Q23" i="1"/>
  <c r="D24" i="1"/>
  <c r="F24" i="1"/>
  <c r="H24" i="1"/>
  <c r="K24" i="1"/>
  <c r="Q24" i="1"/>
  <c r="D25" i="1"/>
  <c r="H25" i="1"/>
  <c r="K25" i="1"/>
  <c r="Q25" i="1"/>
  <c r="D26" i="1"/>
  <c r="F26" i="1"/>
  <c r="H26" i="1"/>
  <c r="J26" i="1"/>
  <c r="K26" i="1"/>
  <c r="Q26" i="1"/>
  <c r="D28" i="1"/>
  <c r="F28" i="1"/>
  <c r="K28" i="1"/>
  <c r="Q28" i="1"/>
  <c r="D29" i="1"/>
  <c r="F29" i="1"/>
  <c r="K29" i="1"/>
  <c r="Q29" i="1"/>
  <c r="F6" i="3"/>
  <c r="K5" i="4"/>
  <c r="K7" i="4"/>
  <c r="K9" i="4"/>
  <c r="K17" i="4"/>
  <c r="K19" i="4"/>
  <c r="K25" i="4"/>
  <c r="K26" i="4"/>
  <c r="K27" i="4"/>
  <c r="K28" i="4"/>
  <c r="K29" i="4"/>
  <c r="K30" i="4"/>
  <c r="K31" i="4"/>
  <c r="K32" i="4"/>
  <c r="K35" i="4"/>
  <c r="F19" i="3"/>
  <c r="D28" i="3"/>
  <c r="D8" i="3"/>
  <c r="O4" i="4"/>
  <c r="O6" i="4"/>
  <c r="O7" i="4"/>
  <c r="O10" i="4"/>
  <c r="O12" i="4"/>
  <c r="O13" i="4"/>
  <c r="O15" i="4"/>
  <c r="O16" i="4"/>
  <c r="O17" i="4"/>
  <c r="O19" i="4"/>
  <c r="O23" i="4"/>
  <c r="U3" i="4"/>
  <c r="Q4" i="4"/>
  <c r="R4" i="4"/>
  <c r="S5" i="4"/>
  <c r="S6" i="4"/>
  <c r="Q8" i="4"/>
  <c r="S8" i="4"/>
  <c r="S9" i="4"/>
  <c r="S10" i="4"/>
  <c r="U12" i="4"/>
  <c r="Q13" i="4"/>
  <c r="R13" i="4"/>
  <c r="S13" i="4"/>
  <c r="S14" i="4"/>
  <c r="U20" i="4"/>
  <c r="R22" i="4"/>
  <c r="U23" i="4"/>
  <c r="R25" i="4"/>
  <c r="R26" i="4"/>
  <c r="U27" i="4"/>
  <c r="R28" i="4"/>
  <c r="U29" i="4"/>
  <c r="Q31" i="4"/>
  <c r="S31" i="4"/>
  <c r="S34" i="4"/>
  <c r="S35" i="4"/>
  <c r="Y3" i="4"/>
  <c r="Y9" i="4"/>
  <c r="Y12" i="4"/>
  <c r="Y18" i="4"/>
  <c r="Y20" i="4"/>
  <c r="Y28" i="4"/>
  <c r="Y30" i="4"/>
  <c r="Q5" i="4"/>
  <c r="Q14" i="4"/>
  <c r="Q35" i="4"/>
  <c r="R10" i="4"/>
  <c r="R19" i="4"/>
  <c r="Q9" i="4"/>
  <c r="D32" i="3"/>
  <c r="D15" i="3"/>
  <c r="P4" i="5"/>
  <c r="P6" i="5"/>
  <c r="P10" i="5"/>
  <c r="P13" i="5"/>
  <c r="P15" i="5"/>
  <c r="P17" i="5"/>
  <c r="P19" i="5"/>
  <c r="P23" i="5"/>
  <c r="P26" i="5"/>
  <c r="P35" i="5"/>
  <c r="V3" i="5"/>
  <c r="R4" i="5"/>
  <c r="S4" i="5"/>
  <c r="R5" i="5"/>
  <c r="S5" i="5"/>
  <c r="T5" i="5"/>
  <c r="R7" i="5"/>
  <c r="S10" i="5"/>
  <c r="T10" i="5"/>
  <c r="V12" i="5"/>
  <c r="R13" i="5"/>
  <c r="S13" i="5"/>
  <c r="T13" i="5"/>
  <c r="V13" i="5"/>
  <c r="R14" i="5"/>
  <c r="T14" i="5"/>
  <c r="V14" i="5"/>
  <c r="R16" i="5"/>
  <c r="T16" i="5"/>
  <c r="S19" i="5"/>
  <c r="V19" i="5"/>
  <c r="R22" i="5"/>
  <c r="T22" i="5"/>
  <c r="V23" i="5"/>
  <c r="S25" i="5"/>
  <c r="V29" i="5"/>
  <c r="Z4" i="5"/>
  <c r="Z6" i="5"/>
  <c r="Z8" i="5"/>
  <c r="Z10" i="5"/>
  <c r="Z15" i="5"/>
  <c r="Z17" i="5"/>
  <c r="Z19" i="5"/>
  <c r="Z22" i="5"/>
  <c r="Z25" i="5"/>
  <c r="Z27" i="5"/>
  <c r="Z29" i="5"/>
  <c r="Z34" i="5"/>
  <c r="O32" i="4"/>
  <c r="S15" i="5"/>
  <c r="V18" i="5"/>
  <c r="R20" i="4"/>
  <c r="T20" i="5"/>
  <c r="R27" i="4"/>
  <c r="S27" i="5"/>
  <c r="S23" i="5"/>
  <c r="S12" i="5"/>
  <c r="S3" i="5"/>
  <c r="P32" i="5"/>
  <c r="P28" i="5"/>
  <c r="K12" i="3"/>
  <c r="R6" i="4"/>
  <c r="R34" i="4"/>
  <c r="R31" i="4"/>
  <c r="R18" i="4"/>
  <c r="R17" i="4"/>
  <c r="U16" i="4"/>
  <c r="R8" i="4"/>
  <c r="K13" i="3"/>
  <c r="P30" i="6"/>
  <c r="O29" i="4"/>
  <c r="P32" i="6"/>
  <c r="O34" i="4"/>
  <c r="S3" i="6"/>
  <c r="T3" i="6"/>
  <c r="S6" i="6"/>
  <c r="U6" i="4"/>
  <c r="V6" i="6"/>
  <c r="T7" i="6"/>
  <c r="U8" i="4"/>
  <c r="U9" i="4"/>
  <c r="S12" i="6"/>
  <c r="T12" i="6"/>
  <c r="U15" i="4"/>
  <c r="T16" i="6"/>
  <c r="S17" i="6"/>
  <c r="U17" i="4"/>
  <c r="V17" i="6"/>
  <c r="U18" i="4"/>
  <c r="V18" i="6"/>
  <c r="S20" i="4"/>
  <c r="T21" i="6"/>
  <c r="S23" i="4"/>
  <c r="T24" i="6"/>
  <c r="S29" i="6"/>
  <c r="S27" i="4"/>
  <c r="T29" i="6"/>
  <c r="S29" i="4"/>
  <c r="S34" i="6"/>
  <c r="U31" i="4"/>
  <c r="V35" i="6"/>
  <c r="U34" i="4"/>
  <c r="S8" i="5"/>
  <c r="U35" i="4"/>
  <c r="V33" i="6"/>
  <c r="V16" i="6"/>
  <c r="V15" i="6"/>
  <c r="V9" i="6"/>
  <c r="S9" i="6"/>
  <c r="P37" i="6"/>
  <c r="K34" i="3"/>
  <c r="K16" i="3"/>
  <c r="U7" i="4"/>
  <c r="R9" i="4"/>
  <c r="U30" i="4"/>
  <c r="U32" i="4"/>
  <c r="D6" i="3"/>
  <c r="K4" i="3"/>
  <c r="S20" i="5"/>
  <c r="Z30" i="5"/>
  <c r="Z28" i="5"/>
  <c r="Z20" i="5"/>
  <c r="Z18" i="5"/>
  <c r="Z12" i="5"/>
  <c r="Z9" i="5"/>
  <c r="Z3" i="5"/>
  <c r="R32" i="5"/>
  <c r="R30" i="5"/>
  <c r="V28" i="5"/>
  <c r="S28" i="5"/>
  <c r="V27" i="5"/>
  <c r="T26" i="5"/>
  <c r="R26" i="5"/>
  <c r="R25" i="5"/>
  <c r="S22" i="5"/>
  <c r="V20" i="5"/>
  <c r="T19" i="5"/>
  <c r="R19" i="5"/>
  <c r="T7" i="5"/>
  <c r="D10" i="3"/>
  <c r="Q30" i="4"/>
  <c r="R18" i="5"/>
  <c r="Q26" i="4"/>
  <c r="Y34" i="4"/>
  <c r="Y29" i="4"/>
  <c r="Y27" i="4"/>
  <c r="Y25" i="4"/>
  <c r="Y22" i="4"/>
  <c r="Y19" i="4"/>
  <c r="Y17" i="4"/>
  <c r="Y15" i="4"/>
  <c r="Y10" i="4"/>
  <c r="Y8" i="4"/>
  <c r="Y6" i="4"/>
  <c r="Y4" i="4"/>
  <c r="S28" i="4"/>
  <c r="S26" i="4"/>
  <c r="Q25" i="4"/>
  <c r="S22" i="4"/>
  <c r="Q22" i="4"/>
  <c r="S19" i="4"/>
  <c r="S17" i="4"/>
  <c r="K5" i="3"/>
  <c r="D26" i="3"/>
  <c r="O31" i="4"/>
  <c r="R7" i="4"/>
  <c r="R19" i="6"/>
  <c r="S19" i="6"/>
  <c r="T19" i="6"/>
  <c r="V19" i="6"/>
  <c r="Q20" i="4"/>
  <c r="Q23" i="4"/>
  <c r="R28" i="6"/>
  <c r="S28" i="6"/>
  <c r="T28" i="6"/>
  <c r="Q27" i="4"/>
  <c r="S30" i="6"/>
  <c r="V30" i="6"/>
  <c r="Q29" i="4"/>
  <c r="R30" i="4"/>
  <c r="R32" i="4"/>
  <c r="Z19" i="6"/>
  <c r="Z30" i="6"/>
  <c r="Q6" i="4"/>
  <c r="T17" i="5"/>
  <c r="U19" i="4"/>
  <c r="U25" i="4"/>
  <c r="R29" i="5"/>
  <c r="S32" i="5"/>
  <c r="V34" i="5"/>
  <c r="R15" i="6"/>
  <c r="Q15" i="4"/>
  <c r="U32" i="7" l="1"/>
  <c r="Q28" i="4"/>
  <c r="D18" i="3"/>
  <c r="K25" i="3"/>
  <c r="P4" i="6"/>
  <c r="P29" i="6"/>
  <c r="R6" i="5"/>
  <c r="V6" i="5"/>
  <c r="V7" i="5"/>
  <c r="S10" i="6"/>
  <c r="T14" i="6"/>
  <c r="V21" i="6"/>
  <c r="R23" i="5"/>
  <c r="V24" i="6"/>
  <c r="R27" i="6"/>
  <c r="S31" i="6"/>
  <c r="T37" i="6"/>
  <c r="Z8" i="6"/>
  <c r="Z29" i="6"/>
  <c r="U4" i="7"/>
  <c r="R13" i="7"/>
  <c r="V28" i="7"/>
  <c r="X35" i="7"/>
  <c r="U37" i="7"/>
  <c r="S18" i="6"/>
  <c r="T32" i="5"/>
  <c r="S14" i="5"/>
  <c r="D9" i="3"/>
  <c r="D14" i="3"/>
  <c r="P10" i="6"/>
  <c r="P24" i="6"/>
  <c r="R3" i="4"/>
  <c r="S4" i="6"/>
  <c r="R6" i="6"/>
  <c r="V7" i="6"/>
  <c r="T13" i="6"/>
  <c r="V15" i="5"/>
  <c r="T17" i="6"/>
  <c r="R24" i="6"/>
  <c r="V30" i="5"/>
  <c r="Z15" i="6"/>
  <c r="Z37" i="6"/>
  <c r="U3" i="7"/>
  <c r="U10" i="7"/>
  <c r="X12" i="7"/>
  <c r="T20" i="7"/>
  <c r="R24" i="7"/>
  <c r="T33" i="7"/>
  <c r="V37" i="7"/>
  <c r="U9" i="7"/>
  <c r="V13" i="7"/>
  <c r="AB17" i="7"/>
  <c r="X21" i="7"/>
  <c r="X29" i="7"/>
  <c r="AB32" i="7"/>
  <c r="U34" i="7"/>
  <c r="U38" i="7"/>
  <c r="V35" i="7"/>
  <c r="T35" i="6"/>
  <c r="T33" i="6"/>
  <c r="D17" i="3"/>
  <c r="S30" i="4"/>
  <c r="P6" i="6"/>
  <c r="P29" i="5"/>
  <c r="V8" i="6"/>
  <c r="V12" i="6"/>
  <c r="Q16" i="4"/>
  <c r="V16" i="5"/>
  <c r="Q19" i="4"/>
  <c r="S23" i="6"/>
  <c r="R23" i="4"/>
  <c r="S26" i="6"/>
  <c r="R33" i="6"/>
  <c r="U8" i="7"/>
  <c r="U14" i="7"/>
  <c r="U24" i="7"/>
  <c r="V34" i="7"/>
  <c r="S29" i="5"/>
  <c r="Q17" i="4"/>
  <c r="V28" i="6"/>
  <c r="K31" i="3"/>
  <c r="R29" i="4"/>
  <c r="Z31" i="5"/>
  <c r="Z13" i="5"/>
  <c r="R28" i="5"/>
  <c r="V5" i="5"/>
  <c r="P8" i="5"/>
  <c r="O20" i="4"/>
  <c r="O8" i="4"/>
  <c r="K22" i="3"/>
  <c r="O26" i="4"/>
  <c r="T6" i="5"/>
  <c r="S34" i="5"/>
  <c r="Z17" i="6"/>
  <c r="V14" i="7"/>
  <c r="AB23" i="7"/>
  <c r="U26" i="7"/>
  <c r="AB37" i="7"/>
  <c r="T30" i="5"/>
  <c r="R10" i="5"/>
  <c r="P30" i="5"/>
  <c r="R35" i="4"/>
  <c r="S32" i="6"/>
  <c r="V26" i="5"/>
  <c r="D3" i="3"/>
  <c r="D7" i="3"/>
  <c r="K20" i="3"/>
  <c r="P28" i="6"/>
  <c r="O30" i="4"/>
  <c r="V3" i="6"/>
  <c r="U5" i="4"/>
  <c r="T6" i="6"/>
  <c r="S7" i="4"/>
  <c r="R14" i="6"/>
  <c r="R17" i="5"/>
  <c r="V29" i="6"/>
  <c r="R32" i="6"/>
  <c r="S37" i="6"/>
  <c r="Z6" i="6"/>
  <c r="Z26" i="6"/>
  <c r="AB13" i="7"/>
  <c r="T15" i="7"/>
  <c r="T16" i="7"/>
  <c r="R17" i="7"/>
  <c r="R32" i="7"/>
  <c r="R35" i="7"/>
  <c r="U26" i="4"/>
  <c r="Y13" i="4"/>
  <c r="Y31" i="4"/>
  <c r="S38" i="6"/>
  <c r="P20" i="5"/>
  <c r="P8" i="6"/>
  <c r="P21" i="6"/>
  <c r="P33" i="6"/>
  <c r="V5" i="6"/>
  <c r="R17" i="6"/>
  <c r="S18" i="5"/>
  <c r="V27" i="6"/>
  <c r="S32" i="4"/>
  <c r="S35" i="5"/>
  <c r="Z13" i="6"/>
  <c r="Z34" i="6"/>
  <c r="T6" i="7"/>
  <c r="X16" i="7"/>
  <c r="R28" i="7"/>
  <c r="AB34" i="7"/>
  <c r="R3" i="8"/>
  <c r="R3" i="7"/>
  <c r="R7" i="8"/>
  <c r="R7" i="7"/>
  <c r="R9" i="8"/>
  <c r="R9" i="7"/>
  <c r="R12" i="8"/>
  <c r="R12" i="7"/>
  <c r="R16" i="8"/>
  <c r="R16" i="7"/>
  <c r="R23" i="8"/>
  <c r="P23" i="6"/>
  <c r="V3" i="8"/>
  <c r="S3" i="4"/>
  <c r="V3" i="7"/>
  <c r="X4" i="8"/>
  <c r="X4" i="7"/>
  <c r="U4" i="4"/>
  <c r="X14" i="8"/>
  <c r="X14" i="7"/>
  <c r="V18" i="8"/>
  <c r="T18" i="5"/>
  <c r="T21" i="8"/>
  <c r="R21" i="6"/>
  <c r="R20" i="5"/>
  <c r="X23" i="8"/>
  <c r="V23" i="6"/>
  <c r="U22" i="4"/>
  <c r="U29" i="8"/>
  <c r="U29" i="7"/>
  <c r="T37" i="8"/>
  <c r="T37" i="7"/>
  <c r="R37" i="6"/>
  <c r="AB7" i="8"/>
  <c r="Z7" i="6"/>
  <c r="AB7" i="7"/>
  <c r="AB16" i="8"/>
  <c r="AB16" i="7"/>
  <c r="Z16" i="6"/>
  <c r="AB28" i="8"/>
  <c r="AB27" i="8"/>
  <c r="AB27" i="7"/>
  <c r="Z27" i="6"/>
  <c r="AB38" i="8"/>
  <c r="Z38" i="6"/>
  <c r="AB38" i="7"/>
  <c r="U14" i="4"/>
  <c r="Z28" i="6"/>
  <c r="T3" i="5"/>
  <c r="P18" i="5"/>
  <c r="P9" i="5"/>
  <c r="R5" i="4"/>
  <c r="F30" i="3"/>
  <c r="K30" i="3"/>
  <c r="T3" i="8"/>
  <c r="R3" i="6"/>
  <c r="R3" i="5"/>
  <c r="V4" i="8"/>
  <c r="V4" i="7"/>
  <c r="V12" i="8"/>
  <c r="V12" i="7"/>
  <c r="T12" i="5"/>
  <c r="V15" i="8"/>
  <c r="T15" i="6"/>
  <c r="V15" i="7"/>
  <c r="T15" i="5"/>
  <c r="X37" i="8"/>
  <c r="X37" i="7"/>
  <c r="AB24" i="8"/>
  <c r="Z24" i="6"/>
  <c r="AB35" i="8"/>
  <c r="Z35" i="6"/>
  <c r="R23" i="7"/>
  <c r="R34" i="5"/>
  <c r="U13" i="4"/>
  <c r="K29" i="3"/>
  <c r="Z23" i="5"/>
  <c r="Z32" i="5"/>
  <c r="S12" i="4"/>
  <c r="S26" i="5"/>
  <c r="V4" i="5"/>
  <c r="P22" i="5"/>
  <c r="Y35" i="4"/>
  <c r="Y26" i="4"/>
  <c r="Y16" i="4"/>
  <c r="Y7" i="4"/>
  <c r="S18" i="4"/>
  <c r="S4" i="4"/>
  <c r="O18" i="4"/>
  <c r="O14" i="4"/>
  <c r="O9" i="4"/>
  <c r="K15" i="3"/>
  <c r="K26" i="3"/>
  <c r="F28" i="3"/>
  <c r="K28" i="3"/>
  <c r="P31" i="6"/>
  <c r="R34" i="8"/>
  <c r="P31" i="5"/>
  <c r="U6" i="8"/>
  <c r="S6" i="5"/>
  <c r="T7" i="8"/>
  <c r="Q7" i="4"/>
  <c r="R8" i="6"/>
  <c r="T9" i="8"/>
  <c r="R9" i="5"/>
  <c r="X9" i="8"/>
  <c r="X9" i="7"/>
  <c r="V10" i="8"/>
  <c r="T10" i="6"/>
  <c r="V10" i="7"/>
  <c r="T12" i="8"/>
  <c r="R12" i="6"/>
  <c r="R12" i="5"/>
  <c r="T13" i="8"/>
  <c r="T13" i="7"/>
  <c r="U17" i="8"/>
  <c r="U17" i="7"/>
  <c r="S17" i="5"/>
  <c r="V17" i="5"/>
  <c r="U19" i="8"/>
  <c r="U20" i="8"/>
  <c r="S20" i="6"/>
  <c r="V23" i="8"/>
  <c r="T23" i="6"/>
  <c r="X26" i="8"/>
  <c r="X26" i="7"/>
  <c r="V26" i="6"/>
  <c r="X28" i="8"/>
  <c r="X27" i="8"/>
  <c r="X28" i="7"/>
  <c r="T31" i="8"/>
  <c r="T30" i="8"/>
  <c r="T30" i="7"/>
  <c r="R31" i="6"/>
  <c r="X32" i="8"/>
  <c r="V32" i="6"/>
  <c r="X32" i="7"/>
  <c r="U33" i="8"/>
  <c r="S30" i="5"/>
  <c r="U33" i="7"/>
  <c r="U35" i="8"/>
  <c r="U35" i="7"/>
  <c r="T38" i="8"/>
  <c r="T38" i="7"/>
  <c r="R38" i="6"/>
  <c r="R35" i="5"/>
  <c r="V38" i="8"/>
  <c r="T35" i="5"/>
  <c r="AB3" i="8"/>
  <c r="Z3" i="6"/>
  <c r="AB3" i="7"/>
  <c r="AB12" i="8"/>
  <c r="AB12" i="7"/>
  <c r="Z12" i="6"/>
  <c r="AB21" i="8"/>
  <c r="AB21" i="7"/>
  <c r="Z21" i="6"/>
  <c r="AB33" i="8"/>
  <c r="AB33" i="7"/>
  <c r="Z33" i="6"/>
  <c r="T3" i="7"/>
  <c r="T4" i="7"/>
  <c r="T7" i="7"/>
  <c r="T9" i="7"/>
  <c r="R14" i="7"/>
  <c r="X17" i="7"/>
  <c r="R18" i="7"/>
  <c r="U19" i="7"/>
  <c r="AB24" i="7"/>
  <c r="AB28" i="7"/>
  <c r="X33" i="7"/>
  <c r="R34" i="7"/>
  <c r="R37" i="7"/>
  <c r="R5" i="8"/>
  <c r="R5" i="7"/>
  <c r="X10" i="8"/>
  <c r="X10" i="7"/>
  <c r="V10" i="6"/>
  <c r="U10" i="4"/>
  <c r="X13" i="8"/>
  <c r="V13" i="6"/>
  <c r="T18" i="8"/>
  <c r="R18" i="6"/>
  <c r="T18" i="7"/>
  <c r="Q18" i="4"/>
  <c r="V26" i="8"/>
  <c r="V26" i="7"/>
  <c r="X38" i="8"/>
  <c r="V35" i="5"/>
  <c r="X38" i="7"/>
  <c r="X23" i="7"/>
  <c r="K23" i="3"/>
  <c r="T25" i="5"/>
  <c r="V10" i="5"/>
  <c r="P14" i="5"/>
  <c r="P5" i="5"/>
  <c r="R20" i="8"/>
  <c r="R19" i="8"/>
  <c r="P20" i="6"/>
  <c r="R20" i="7"/>
  <c r="P19" i="6"/>
  <c r="U27" i="8"/>
  <c r="U28" i="8"/>
  <c r="S27" i="6"/>
  <c r="U27" i="7"/>
  <c r="V30" i="8"/>
  <c r="V31" i="8"/>
  <c r="V31" i="7"/>
  <c r="T31" i="6"/>
  <c r="X34" i="8"/>
  <c r="V31" i="5"/>
  <c r="X34" i="7"/>
  <c r="AB5" i="8"/>
  <c r="Z5" i="6"/>
  <c r="AB5" i="7"/>
  <c r="AB14" i="8"/>
  <c r="Z14" i="6"/>
  <c r="T21" i="7"/>
  <c r="T26" i="7"/>
  <c r="V30" i="7"/>
  <c r="AB35" i="7"/>
  <c r="T30" i="6"/>
  <c r="V22" i="5"/>
  <c r="Z7" i="5"/>
  <c r="Z16" i="5"/>
  <c r="Z26" i="5"/>
  <c r="Z35" i="5"/>
  <c r="V38" i="6"/>
  <c r="V34" i="6"/>
  <c r="T32" i="6"/>
  <c r="T28" i="5"/>
  <c r="T4" i="5"/>
  <c r="P16" i="5"/>
  <c r="P12" i="5"/>
  <c r="P7" i="5"/>
  <c r="P3" i="5"/>
  <c r="R15" i="4"/>
  <c r="Y32" i="4"/>
  <c r="Y23" i="4"/>
  <c r="Y14" i="4"/>
  <c r="Y5" i="4"/>
  <c r="Q34" i="4"/>
  <c r="O22" i="4"/>
  <c r="H32" i="3"/>
  <c r="K32" i="3"/>
  <c r="P3" i="6"/>
  <c r="P5" i="6"/>
  <c r="P7" i="6"/>
  <c r="P9" i="6"/>
  <c r="P12" i="6"/>
  <c r="P14" i="6"/>
  <c r="P16" i="6"/>
  <c r="P18" i="6"/>
  <c r="R30" i="8"/>
  <c r="R31" i="8"/>
  <c r="R31" i="7"/>
  <c r="O28" i="4"/>
  <c r="R38" i="8"/>
  <c r="P38" i="6"/>
  <c r="O35" i="4"/>
  <c r="V4" i="6"/>
  <c r="S5" i="6"/>
  <c r="U7" i="8"/>
  <c r="S7" i="6"/>
  <c r="S7" i="5"/>
  <c r="T8" i="8"/>
  <c r="R8" i="5"/>
  <c r="T10" i="8"/>
  <c r="R10" i="6"/>
  <c r="Q10" i="4"/>
  <c r="U14" i="8"/>
  <c r="S14" i="6"/>
  <c r="V14" i="6"/>
  <c r="S15" i="6"/>
  <c r="V16" i="8"/>
  <c r="V16" i="7"/>
  <c r="S16" i="4"/>
  <c r="T18" i="6"/>
  <c r="X19" i="8"/>
  <c r="X20" i="8"/>
  <c r="X20" i="7"/>
  <c r="X19" i="7"/>
  <c r="T23" i="8"/>
  <c r="R23" i="6"/>
  <c r="T23" i="7"/>
  <c r="V24" i="8"/>
  <c r="T23" i="5"/>
  <c r="R26" i="6"/>
  <c r="T26" i="6"/>
  <c r="T29" i="8"/>
  <c r="R29" i="6"/>
  <c r="R27" i="5"/>
  <c r="X31" i="8"/>
  <c r="X30" i="8"/>
  <c r="V31" i="6"/>
  <c r="X30" i="7"/>
  <c r="U28" i="4"/>
  <c r="T29" i="5"/>
  <c r="T34" i="8"/>
  <c r="T34" i="7"/>
  <c r="R34" i="6"/>
  <c r="R31" i="5"/>
  <c r="V34" i="8"/>
  <c r="T31" i="5"/>
  <c r="AB9" i="8"/>
  <c r="Z9" i="6"/>
  <c r="AB9" i="7"/>
  <c r="AB18" i="8"/>
  <c r="Z18" i="6"/>
  <c r="AB30" i="8"/>
  <c r="AB31" i="8"/>
  <c r="AB31" i="7"/>
  <c r="Z31" i="6"/>
  <c r="U5" i="7"/>
  <c r="U6" i="7"/>
  <c r="U7" i="7"/>
  <c r="T12" i="7"/>
  <c r="U15" i="7"/>
  <c r="V18" i="7"/>
  <c r="AB18" i="7"/>
  <c r="V23" i="7"/>
  <c r="V24" i="7"/>
  <c r="T31" i="7"/>
  <c r="V32" i="7"/>
  <c r="V38" i="7"/>
  <c r="T20" i="8"/>
  <c r="T19" i="8"/>
  <c r="V20" i="8"/>
  <c r="V19" i="8"/>
  <c r="T28" i="8"/>
  <c r="T27" i="8"/>
  <c r="V28" i="8"/>
  <c r="V27" i="8"/>
  <c r="U31" i="8"/>
  <c r="U30" i="8"/>
  <c r="AB20" i="8"/>
  <c r="AB19" i="8"/>
  <c r="AB4" i="7"/>
  <c r="V5" i="7"/>
  <c r="V6" i="7"/>
  <c r="AB6" i="7"/>
  <c r="V7" i="7"/>
  <c r="V8" i="7"/>
  <c r="AB8" i="7"/>
  <c r="V9" i="7"/>
  <c r="AB10" i="7"/>
  <c r="U12" i="7"/>
  <c r="R15" i="7"/>
  <c r="AB15" i="7"/>
  <c r="U16" i="7"/>
  <c r="T17" i="7"/>
  <c r="V20" i="7"/>
  <c r="AB20" i="7"/>
  <c r="U21" i="7"/>
  <c r="X24" i="7"/>
  <c r="AB26" i="7"/>
  <c r="U31" i="7"/>
  <c r="T35" i="7"/>
  <c r="O27" i="4"/>
  <c r="R16" i="4"/>
  <c r="X3" i="7"/>
  <c r="R4" i="7"/>
  <c r="X5" i="7"/>
  <c r="R6" i="7"/>
  <c r="X6" i="7"/>
  <c r="X7" i="7"/>
  <c r="R8" i="7"/>
  <c r="X8" i="7"/>
  <c r="R10" i="7"/>
  <c r="U13" i="7"/>
  <c r="T14" i="7"/>
  <c r="X15" i="7"/>
  <c r="U18" i="7"/>
  <c r="T19" i="7"/>
  <c r="R21" i="7"/>
  <c r="V21" i="7"/>
  <c r="U23" i="7"/>
  <c r="T24" i="7"/>
  <c r="V27" i="7"/>
  <c r="T28" i="7"/>
  <c r="R29" i="7"/>
  <c r="V29" i="7"/>
  <c r="AB29" i="7"/>
  <c r="T32" i="7"/>
  <c r="R33" i="7"/>
  <c r="V33" i="7"/>
  <c r="R19" i="11"/>
  <c r="R18" i="11"/>
  <c r="S19" i="11" l="1"/>
  <c r="T19" i="11"/>
  <c r="H19" i="11"/>
  <c r="O19" i="11"/>
  <c r="S18" i="11"/>
  <c r="H18" i="11"/>
  <c r="O18" i="11"/>
  <c r="T18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Maribí del Álamo Nuñez</author>
  </authors>
  <commentList>
    <comment ref="K36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PLUS CONVENIO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Maribí del Álamo Nuñez</author>
  </authors>
  <commentList>
    <comment ref="K37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PLUS CONVENIO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Maribí del Álamo Nuñez</author>
  </authors>
  <commentList>
    <comment ref="M37" authorId="0" shapeId="0" xr:uid="{7CC5AE9B-5CD6-48AF-9CEC-71CE07F19989}">
      <text>
        <r>
          <rPr>
            <b/>
            <sz val="9"/>
            <color indexed="81"/>
            <rFont val="Tahoma"/>
            <family val="2"/>
          </rPr>
          <t>PLUS CONVENIO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Maribí del Álamo Nuñez</author>
  </authors>
  <commentList>
    <comment ref="L37" authorId="0" shapeId="0" xr:uid="{4B406750-FF0D-4A60-813C-F3ADC398E90C}">
      <text>
        <r>
          <rPr>
            <b/>
            <sz val="9"/>
            <color indexed="81"/>
            <rFont val="Tahoma"/>
            <family val="2"/>
          </rPr>
          <t>PLUS CONVENIO</t>
        </r>
      </text>
    </comment>
    <comment ref="W37" authorId="0" shapeId="0" xr:uid="{51AE77F2-2134-4DB3-B29A-60FBB35279CD}">
      <text>
        <r>
          <rPr>
            <b/>
            <sz val="9"/>
            <color indexed="81"/>
            <rFont val="Tahoma"/>
            <family val="2"/>
          </rPr>
          <t>PLUS CONVENIO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Maribí del Álamo Nuñez</author>
  </authors>
  <commentList>
    <comment ref="I42" authorId="0" shapeId="0" xr:uid="{CBCD12AC-A988-4723-8F5B-6C6AE1F82BBF}">
      <text>
        <r>
          <rPr>
            <b/>
            <sz val="9"/>
            <color indexed="81"/>
            <rFont val="Tahoma"/>
            <family val="2"/>
          </rPr>
          <t>Plus Convenio</t>
        </r>
      </text>
    </comment>
    <comment ref="K42" authorId="0" shapeId="0" xr:uid="{C0F37131-C9E0-416E-93EB-232738752298}">
      <text>
        <r>
          <rPr>
            <b/>
            <sz val="9"/>
            <color indexed="81"/>
            <rFont val="Tahoma"/>
            <family val="2"/>
          </rPr>
          <t xml:space="preserve">Bolsa Vacaciones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42" authorId="0" shapeId="0" xr:uid="{FA946BF8-EB0B-49E9-9695-5D0B05910666}">
      <text>
        <r>
          <rPr>
            <b/>
            <sz val="9"/>
            <color indexed="81"/>
            <rFont val="Calibri"/>
            <family val="2"/>
            <scheme val="minor"/>
          </rPr>
          <t>Paga Abril + Paga Verano + Paga Navidad: 93,29 € cada una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Maribí del Álamo Nuñez</author>
  </authors>
  <commentList>
    <comment ref="I42" authorId="0" shapeId="0" xr:uid="{61BD366D-2989-497F-9CDC-CCF3335BBD1E}">
      <text>
        <r>
          <rPr>
            <b/>
            <sz val="9"/>
            <color indexed="81"/>
            <rFont val="Tahoma"/>
            <family val="2"/>
          </rPr>
          <t>Plus Convenio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Maribí del Álamo Nuñez</author>
  </authors>
  <commentList>
    <comment ref="J15" authorId="0" shapeId="0" xr:uid="{726D013E-7D66-46E7-9563-435609F68067}">
      <text>
        <r>
          <rPr>
            <b/>
            <sz val="9"/>
            <color indexed="81"/>
            <rFont val="Tahoma"/>
            <family val="2"/>
          </rPr>
          <t>PLUS CONVENIO</t>
        </r>
      </text>
    </comment>
    <comment ref="Z15" authorId="0" shapeId="0" xr:uid="{59102175-17D9-4371-9CF1-95730C658FF0}">
      <text>
        <r>
          <rPr>
            <b/>
            <sz val="9"/>
            <color indexed="81"/>
            <rFont val="Tahoma"/>
            <family val="2"/>
          </rPr>
          <t>PLUS CONVENIO</t>
        </r>
      </text>
    </comment>
  </commentList>
</comments>
</file>

<file path=xl/sharedStrings.xml><?xml version="1.0" encoding="utf-8"?>
<sst xmlns="http://schemas.openxmlformats.org/spreadsheetml/2006/main" count="1299" uniqueCount="148">
  <si>
    <t>COD.</t>
  </si>
  <si>
    <t>CATEGORIA</t>
  </si>
  <si>
    <t>S. BASE</t>
  </si>
  <si>
    <t>P. TRANS</t>
  </si>
  <si>
    <t>P. VEST</t>
  </si>
  <si>
    <t>P.ACTIV</t>
  </si>
  <si>
    <t>TOTAL</t>
  </si>
  <si>
    <t xml:space="preserve">H. EXTRA </t>
  </si>
  <si>
    <t>NOCTUR</t>
  </si>
  <si>
    <t>KM.</t>
  </si>
  <si>
    <t>MINUSVALIA</t>
  </si>
  <si>
    <t xml:space="preserve">QUINQUENIO </t>
  </si>
  <si>
    <t>PL. NAVIDAD</t>
  </si>
  <si>
    <t>Personal Directivo y Técnico</t>
  </si>
  <si>
    <t>DIRECTOR GENERAL</t>
  </si>
  <si>
    <t>DIRECTOR ADMINISTRATIVO</t>
  </si>
  <si>
    <t>DIRECTOR DE PERSONAL</t>
  </si>
  <si>
    <t>JEFE DE DEPARTAMENTO</t>
  </si>
  <si>
    <t xml:space="preserve">TITULADO SUPERIOR </t>
  </si>
  <si>
    <t>TITULADO MEDIO</t>
  </si>
  <si>
    <t>Personal Administrativo</t>
  </si>
  <si>
    <t>JEFE 1 ADMINISTRATIVO</t>
  </si>
  <si>
    <t>JEFE 2 ADMINISTRATIVO</t>
  </si>
  <si>
    <t>OFICIAL 1 ADMINISTRATIVO</t>
  </si>
  <si>
    <t>OFICIAL 2 ADMINISTRATIVO</t>
  </si>
  <si>
    <t>AUXILIAR ADMINISTRATIVO</t>
  </si>
  <si>
    <t>ASPIRANTE ADMINISTRATIVO</t>
  </si>
  <si>
    <t>TELEFONISTA</t>
  </si>
  <si>
    <t>Mandos Intermedios</t>
  </si>
  <si>
    <t>ENCARGADO GENERAL/ENCARG.</t>
  </si>
  <si>
    <t>SUPERVISOR</t>
  </si>
  <si>
    <t>Personal Operativo</t>
  </si>
  <si>
    <t>AUXILIAR DE SERVICIOS</t>
  </si>
  <si>
    <t>AZAFATA/O</t>
  </si>
  <si>
    <t>CONDUCTOR/REPARTIDOR</t>
  </si>
  <si>
    <t>CAJERO-APARCADOR</t>
  </si>
  <si>
    <t>OPERADOR/A</t>
  </si>
  <si>
    <t>BOMBERO</t>
  </si>
  <si>
    <t>Oficios Varios</t>
  </si>
  <si>
    <t>PEON/MOZO</t>
  </si>
  <si>
    <t>AYUDANTE</t>
  </si>
  <si>
    <t>DIETAS 1 COMIDA FUERA</t>
  </si>
  <si>
    <t>DIETAS 2 COMIDAS FUERA</t>
  </si>
  <si>
    <t>DIETA CON PERNOCTA (MENOS 7 DIAS)</t>
  </si>
  <si>
    <t>DIETA CON PERNOCTA (A PARTIR 8º DIA)</t>
  </si>
  <si>
    <t>PLUS IDIOMAS</t>
  </si>
  <si>
    <t>DIRECTOR COMERCIAL</t>
  </si>
  <si>
    <t>GERENTE Y/O DELEGADO PROV.</t>
  </si>
  <si>
    <t>JEFE DE VENTAS</t>
  </si>
  <si>
    <t>VENDEDOR</t>
  </si>
  <si>
    <t>AGENTE SOCIAL</t>
  </si>
  <si>
    <t>GRABADOR DE DATOS</t>
  </si>
  <si>
    <t>42/47</t>
  </si>
  <si>
    <t>43/45</t>
  </si>
  <si>
    <t>PL. FESTIVO</t>
  </si>
  <si>
    <r>
      <rPr>
        <b/>
        <sz val="5"/>
        <rFont val="Arial"/>
        <family val="2"/>
      </rPr>
      <t xml:space="preserve">H. EXTRA </t>
    </r>
    <r>
      <rPr>
        <b/>
        <sz val="8"/>
        <rFont val="Arial"/>
        <family val="2"/>
      </rPr>
      <t xml:space="preserve"> </t>
    </r>
  </si>
  <si>
    <t xml:space="preserve">NOCTUR </t>
  </si>
  <si>
    <t>IMPORTE PAGA DE BENEFICIOS 2010 ….. 120 €</t>
  </si>
  <si>
    <t>IMPORTE PAGA DE BENEFICIOS 2009 ….. 80 €</t>
  </si>
  <si>
    <t>IMPORTE PAGA DE BENEFICIOS 2008 ….. 40 €</t>
  </si>
  <si>
    <t>TELEFONISTA/O</t>
  </si>
  <si>
    <t>IMPORTE PAGA DE BENEFICIOS 2011 ….. 120 €</t>
  </si>
  <si>
    <t>TOTAL MENSUAL</t>
  </si>
  <si>
    <t>TOTAL ANUAL</t>
  </si>
  <si>
    <t xml:space="preserve">OPERADOR/A - HOSPITAL TORRELAVEGA </t>
  </si>
  <si>
    <t>AUXILIAR DE SERVICIOS (COSTE SEG. SOCIAL BAJO)</t>
  </si>
  <si>
    <t>AUXILIAR DE SERVICIOS (COSTE SEG. SOCIAL ALTO)</t>
  </si>
  <si>
    <t>TELEFONISTA/O - 112 ZARAGOZA</t>
  </si>
  <si>
    <t>IMPORTE PAGA DE BENEFICIOS 2015 ….. 120 €</t>
  </si>
  <si>
    <t>G.T.</t>
  </si>
  <si>
    <t>OCUPACION</t>
  </si>
  <si>
    <t>a</t>
  </si>
  <si>
    <t>cnae</t>
  </si>
  <si>
    <t>h</t>
  </si>
  <si>
    <t>e</t>
  </si>
  <si>
    <t>d</t>
  </si>
  <si>
    <t>CONDUCTOR</t>
  </si>
  <si>
    <t>ENCARGADO DE ALMACEN</t>
  </si>
  <si>
    <t>Cuando el trabajador tenga que</t>
  </si>
  <si>
    <t>Hacer una comida fuera de su localidad</t>
  </si>
  <si>
    <t>8.50 €</t>
  </si>
  <si>
    <t>Hacer dos comidas fuera de su localidad</t>
  </si>
  <si>
    <t>14.00 €</t>
  </si>
  <si>
    <t>Pernoctar fuera de su localidad y realizar desayuno</t>
  </si>
  <si>
    <t>20.00 €</t>
  </si>
  <si>
    <t>Pernoctar fuera de su localidad y realizar dos comidas.</t>
  </si>
  <si>
    <t>27.00 €</t>
  </si>
  <si>
    <t>25.00 €</t>
  </si>
  <si>
    <t>MONITOR</t>
  </si>
  <si>
    <t>LIMPIADORA CONV. COLECT. LAS PALMAS</t>
  </si>
  <si>
    <t>g</t>
  </si>
  <si>
    <t>AUXILIAR DE SERVICIOS - VALENCIA ESPECIAL</t>
  </si>
  <si>
    <t>GESTOR TELEFONICO - MALAGA CONTACT CENTER</t>
  </si>
  <si>
    <t>COORDINADOR  C.C. - MALAGA CONTACT CENTER</t>
  </si>
  <si>
    <t>Personal Ventas</t>
  </si>
  <si>
    <t>TELEOPERADORA - MALAGA CONTACT CENTER</t>
  </si>
  <si>
    <t xml:space="preserve">OPERADOR/A - CANTABRIA HOSPITAL TORRELAVEGA </t>
  </si>
  <si>
    <t>Importe hora Plus Nocturnidad</t>
  </si>
  <si>
    <t>Importe hora Plus Festivo</t>
  </si>
  <si>
    <t>importe Kilómetro</t>
  </si>
  <si>
    <t>Ayuda descendiente discapacitado</t>
  </si>
  <si>
    <t>Plus idiomas mensual</t>
  </si>
  <si>
    <t>Plus Navidad</t>
  </si>
  <si>
    <t>Importe Pluses</t>
  </si>
  <si>
    <t>Pernoctar fuera de su localidad y realizar dos comidas (+ 7 días de desplazam)</t>
  </si>
  <si>
    <t>Ayuda cónyuge discapacitado</t>
  </si>
  <si>
    <t>AUXILIAR DE PARKING</t>
  </si>
  <si>
    <t>RECEPCIONISTA</t>
  </si>
  <si>
    <t>MOZO/PEON</t>
  </si>
  <si>
    <t>JORNADA ANUAL PARA 2018  :   1.820 H. EFECTIVAS DE TRABAJO</t>
  </si>
  <si>
    <t>A CUENTA CONVENIO</t>
  </si>
  <si>
    <t>SMI 2019</t>
  </si>
  <si>
    <t>DIFERENCIA TOTAL ANUAL - SMI</t>
  </si>
  <si>
    <t>COMPROBACION</t>
  </si>
  <si>
    <t>JORNADA ANUAL PARA 2019  :   1.820 H. EFECTIVAS DE TRABAJO</t>
  </si>
  <si>
    <t>DEL 01/01/2019  -  AL 16/01/2019</t>
  </si>
  <si>
    <t>A PARTIR DE AHORA</t>
  </si>
  <si>
    <t>DEL 01/01/2019 AL 30/06/2019</t>
  </si>
  <si>
    <t>A PARTIR 01/07/2019</t>
  </si>
  <si>
    <t>P. TTE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</si>
  <si>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</si>
  <si>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</si>
  <si>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</si>
  <si>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</si>
  <si>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</si>
  <si>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</si>
  <si>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</si>
  <si>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</si>
  <si>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</si>
  <si>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</si>
  <si>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</si>
  <si>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</si>
  <si>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ALTA DEL 01/01/2019</t>
  </si>
  <si>
    <t>ABONADO EN DEMASIA</t>
  </si>
  <si>
    <t>P.E. DICIEM/19</t>
  </si>
  <si>
    <t>P.E. JULIO/19</t>
  </si>
  <si>
    <t>P.E. JULIO/20</t>
  </si>
  <si>
    <t>TOTALES</t>
  </si>
  <si>
    <t>RECUPERACIÓN ABONO DEMASIA</t>
  </si>
  <si>
    <t>DEVENGO EXTRA JULIO/19</t>
  </si>
  <si>
    <t>DEVENGO EXTRA DICIEMBRE/19</t>
  </si>
  <si>
    <t>DEVENGO EXTRA JULIO/20</t>
  </si>
  <si>
    <t>SE MANTIENE IGUAL (DISTINTO CONVENIO)</t>
  </si>
  <si>
    <t>(el precio h.extra limpiadora son 13,5€)</t>
  </si>
  <si>
    <t>TIPO CATEGORIA</t>
  </si>
  <si>
    <t>NO OPERATIVA</t>
  </si>
  <si>
    <t>OPERATIVA</t>
  </si>
  <si>
    <t>JORNADA ANUAL PARA 2020  :   1.820 H. EFECTIVAS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</si>
</sst>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"/>
    <numFmt numFmtId="165" formatCode="000000"/>
    <numFmt numFmtId="166" formatCode="#,##0.000000"/>
    <numFmt numFmtId="167" formatCode="0.000000"/>
  </numFmts>
  <fonts count="34" x14ac:knownFonts="1">
    <font>
      <sz val="10"/>
      <name val="Arial"/>
    </font>
    <font>
      <sz val="10"/>
      <name val="Times New Roman"/>
      <family val="1"/>
    </font>
    <font>
      <b/>
      <sz val="10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u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Arial"/>
      <family val="2"/>
    </font>
    <font>
      <b/>
      <i/>
      <u/>
      <sz val="11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u/>
      <sz val="8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Calibri"/>
      <family val="2"/>
      <scheme val="minor"/>
    </font>
    <font>
      <b/>
      <i/>
      <sz val="10"/>
      <name val="Calibri"/>
      <family val="2"/>
      <scheme val="minor"/>
    </font>
    <font>
      <sz val="7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24" fillId="0" borderId="0" applyFont="0" applyFill="0" applyBorder="0" applyAlignment="0" applyProtection="0"/>
  </cellStyleXfs>
  <cellXfs count="20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" fontId="3" fillId="2" borderId="2" xfId="1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1" fontId="6" fillId="2" borderId="1" xfId="1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justify" vertical="center"/>
    </xf>
    <xf numFmtId="1" fontId="5" fillId="2" borderId="3" xfId="1" applyNumberFormat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7" fillId="3" borderId="4" xfId="1" applyNumberFormat="1" applyFont="1" applyFill="1" applyBorder="1" applyAlignment="1">
      <alignment horizontal="left" vertical="center"/>
    </xf>
    <xf numFmtId="4" fontId="8" fillId="0" borderId="5" xfId="1" applyNumberFormat="1" applyFont="1" applyBorder="1" applyAlignment="1">
      <alignment vertical="center"/>
    </xf>
    <xf numFmtId="164" fontId="8" fillId="0" borderId="5" xfId="1" applyNumberFormat="1" applyFont="1" applyBorder="1" applyAlignment="1">
      <alignment vertical="center"/>
    </xf>
    <xf numFmtId="4" fontId="8" fillId="0" borderId="3" xfId="1" applyNumberFormat="1" applyFont="1" applyBorder="1" applyAlignment="1">
      <alignment vertical="center"/>
    </xf>
    <xf numFmtId="4" fontId="8" fillId="0" borderId="2" xfId="1" applyNumberFormat="1" applyFont="1" applyBorder="1" applyAlignment="1">
      <alignment vertical="center"/>
    </xf>
    <xf numFmtId="4" fontId="8" fillId="0" borderId="6" xfId="1" applyNumberFormat="1" applyFont="1" applyBorder="1" applyAlignment="1">
      <alignment vertical="center"/>
    </xf>
    <xf numFmtId="4" fontId="8" fillId="0" borderId="6" xfId="1" applyNumberFormat="1" applyFont="1" applyFill="1" applyBorder="1" applyAlignment="1">
      <alignment vertical="center"/>
    </xf>
    <xf numFmtId="4" fontId="8" fillId="0" borderId="0" xfId="1" applyNumberFormat="1" applyFont="1" applyFill="1" applyBorder="1" applyAlignment="1">
      <alignment vertical="center"/>
    </xf>
    <xf numFmtId="0" fontId="8" fillId="0" borderId="7" xfId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3" fillId="0" borderId="1" xfId="1" applyNumberFormat="1" applyFont="1" applyBorder="1" applyAlignment="1">
      <alignment vertical="center"/>
    </xf>
    <xf numFmtId="4" fontId="8" fillId="0" borderId="1" xfId="1" applyNumberFormat="1" applyFont="1" applyBorder="1" applyAlignment="1">
      <alignment vertical="center"/>
    </xf>
    <xf numFmtId="164" fontId="8" fillId="3" borderId="1" xfId="1" applyNumberFormat="1" applyFont="1" applyFill="1" applyBorder="1" applyAlignment="1">
      <alignment vertical="center"/>
    </xf>
    <xf numFmtId="164" fontId="8" fillId="0" borderId="1" xfId="1" applyNumberFormat="1" applyFont="1" applyBorder="1" applyAlignment="1">
      <alignment vertical="center"/>
    </xf>
    <xf numFmtId="4" fontId="8" fillId="0" borderId="1" xfId="1" applyNumberFormat="1" applyFont="1" applyFill="1" applyBorder="1" applyAlignment="1">
      <alignment vertical="center"/>
    </xf>
    <xf numFmtId="0" fontId="8" fillId="0" borderId="1" xfId="1" applyFont="1" applyBorder="1" applyAlignment="1">
      <alignment vertical="center"/>
    </xf>
    <xf numFmtId="4" fontId="7" fillId="3" borderId="1" xfId="1" applyNumberFormat="1" applyFont="1" applyFill="1" applyBorder="1" applyAlignment="1">
      <alignment horizontal="left" vertical="center"/>
    </xf>
    <xf numFmtId="4" fontId="8" fillId="0" borderId="0" xfId="1" applyNumberFormat="1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8" fillId="0" borderId="0" xfId="1" applyNumberFormat="1" applyFont="1" applyFill="1" applyBorder="1" applyAlignment="1">
      <alignment vertical="center"/>
    </xf>
    <xf numFmtId="4" fontId="8" fillId="0" borderId="8" xfId="1" applyNumberFormat="1" applyFont="1" applyBorder="1" applyAlignment="1">
      <alignment vertical="center"/>
    </xf>
    <xf numFmtId="4" fontId="9" fillId="0" borderId="0" xfId="1" applyNumberFormat="1" applyFont="1" applyAlignment="1">
      <alignment vertical="center"/>
    </xf>
    <xf numFmtId="4" fontId="8" fillId="0" borderId="0" xfId="1" applyNumberFormat="1" applyFont="1" applyAlignment="1">
      <alignment vertical="center"/>
    </xf>
    <xf numFmtId="164" fontId="8" fillId="0" borderId="0" xfId="1" applyNumberFormat="1" applyFont="1" applyAlignment="1">
      <alignment vertical="center"/>
    </xf>
    <xf numFmtId="4" fontId="8" fillId="0" borderId="0" xfId="1" applyNumberFormat="1" applyFont="1" applyFill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0" applyFont="1"/>
    <xf numFmtId="164" fontId="0" fillId="0" borderId="0" xfId="0" applyNumberFormat="1"/>
    <xf numFmtId="0" fontId="0" fillId="0" borderId="0" xfId="0" applyFill="1"/>
    <xf numFmtId="0" fontId="2" fillId="0" borderId="0" xfId="0" applyFont="1"/>
    <xf numFmtId="4" fontId="4" fillId="2" borderId="1" xfId="1" applyNumberFormat="1" applyFont="1" applyFill="1" applyBorder="1" applyAlignment="1">
      <alignment horizontal="center" vertical="center" wrapText="1"/>
    </xf>
    <xf numFmtId="0" fontId="10" fillId="0" borderId="0" xfId="0" applyFont="1"/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8" fillId="0" borderId="9" xfId="1" applyNumberFormat="1" applyFont="1" applyBorder="1" applyAlignment="1">
      <alignment vertical="center"/>
    </xf>
    <xf numFmtId="4" fontId="8" fillId="0" borderId="3" xfId="1" applyNumberFormat="1" applyFont="1" applyFill="1" applyBorder="1" applyAlignment="1">
      <alignment vertical="center"/>
    </xf>
    <xf numFmtId="4" fontId="8" fillId="0" borderId="4" xfId="1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2" xfId="1" applyNumberFormat="1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4" fontId="4" fillId="2" borderId="2" xfId="1" applyNumberFormat="1" applyFont="1" applyFill="1" applyBorder="1" applyAlignment="1">
      <alignment horizontal="center" vertical="center" wrapText="1"/>
    </xf>
    <xf numFmtId="4" fontId="4" fillId="2" borderId="3" xfId="1" applyNumberFormat="1" applyFont="1" applyFill="1" applyBorder="1" applyAlignment="1">
      <alignment horizontal="center" vertical="center" wrapText="1"/>
    </xf>
    <xf numFmtId="1" fontId="5" fillId="2" borderId="3" xfId="1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4" fontId="0" fillId="0" borderId="0" xfId="0" applyNumberFormat="1"/>
    <xf numFmtId="4" fontId="6" fillId="2" borderId="3" xfId="1" applyNumberFormat="1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164" fontId="8" fillId="4" borderId="1" xfId="1" applyNumberFormat="1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0" fillId="0" borderId="0" xfId="0" applyNumberFormat="1"/>
    <xf numFmtId="2" fontId="12" fillId="0" borderId="0" xfId="0" applyNumberFormat="1" applyFont="1"/>
    <xf numFmtId="4" fontId="3" fillId="0" borderId="1" xfId="1" applyNumberFormat="1" applyFont="1" applyFill="1" applyBorder="1" applyAlignment="1">
      <alignment vertical="center"/>
    </xf>
    <xf numFmtId="4" fontId="8" fillId="0" borderId="2" xfId="1" applyNumberFormat="1" applyFont="1" applyFill="1" applyBorder="1" applyAlignment="1">
      <alignment vertical="center"/>
    </xf>
    <xf numFmtId="4" fontId="2" fillId="0" borderId="1" xfId="1" applyNumberFormat="1" applyFont="1" applyFill="1" applyBorder="1" applyAlignment="1">
      <alignment vertical="center"/>
    </xf>
    <xf numFmtId="164" fontId="2" fillId="0" borderId="1" xfId="1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1" fontId="17" fillId="5" borderId="1" xfId="1" applyNumberFormat="1" applyFont="1" applyFill="1" applyBorder="1" applyAlignment="1">
      <alignment horizontal="center" vertical="center" wrapText="1"/>
    </xf>
    <xf numFmtId="0" fontId="17" fillId="5" borderId="1" xfId="1" applyNumberFormat="1" applyFont="1" applyFill="1" applyBorder="1" applyAlignment="1">
      <alignment horizontal="center" vertical="center" wrapText="1"/>
    </xf>
    <xf numFmtId="165" fontId="18" fillId="0" borderId="0" xfId="0" applyNumberFormat="1" applyFont="1" applyAlignment="1">
      <alignment horizontal="center" vertical="center"/>
    </xf>
    <xf numFmtId="4" fontId="16" fillId="0" borderId="5" xfId="1" applyNumberFormat="1" applyFont="1" applyBorder="1" applyAlignment="1">
      <alignment vertical="center"/>
    </xf>
    <xf numFmtId="164" fontId="16" fillId="0" borderId="5" xfId="1" applyNumberFormat="1" applyFont="1" applyBorder="1" applyAlignment="1">
      <alignment vertical="center"/>
    </xf>
    <xf numFmtId="0" fontId="13" fillId="0" borderId="0" xfId="0" applyFont="1"/>
    <xf numFmtId="0" fontId="18" fillId="0" borderId="1" xfId="0" applyNumberFormat="1" applyFont="1" applyBorder="1" applyAlignment="1">
      <alignment horizontal="center" vertical="center"/>
    </xf>
    <xf numFmtId="0" fontId="18" fillId="0" borderId="0" xfId="0" applyNumberFormat="1" applyFont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13" fillId="0" borderId="0" xfId="0" applyNumberFormat="1" applyFont="1"/>
    <xf numFmtId="165" fontId="13" fillId="0" borderId="0" xfId="0" applyNumberFormat="1" applyFont="1"/>
    <xf numFmtId="4" fontId="13" fillId="0" borderId="0" xfId="0" applyNumberFormat="1" applyFont="1"/>
    <xf numFmtId="4" fontId="14" fillId="0" borderId="1" xfId="1" applyNumberFormat="1" applyFont="1" applyFill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4" fillId="5" borderId="20" xfId="0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3" fillId="0" borderId="0" xfId="0" applyNumberFormat="1" applyFont="1" applyBorder="1"/>
    <xf numFmtId="165" fontId="13" fillId="0" borderId="0" xfId="0" applyNumberFormat="1" applyFont="1" applyBorder="1"/>
    <xf numFmtId="0" fontId="13" fillId="0" borderId="0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5" xfId="0" applyFont="1" applyBorder="1" applyAlignment="1">
      <alignment horizontal="right" vertical="center"/>
    </xf>
    <xf numFmtId="4" fontId="14" fillId="0" borderId="1" xfId="1" applyNumberFormat="1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165" fontId="14" fillId="0" borderId="1" xfId="0" applyNumberFormat="1" applyFont="1" applyFill="1" applyBorder="1" applyAlignment="1">
      <alignment horizontal="center" vertical="center"/>
    </xf>
    <xf numFmtId="4" fontId="13" fillId="0" borderId="1" xfId="1" applyNumberFormat="1" applyFont="1" applyFill="1" applyBorder="1" applyAlignment="1">
      <alignment vertical="center"/>
    </xf>
    <xf numFmtId="164" fontId="13" fillId="4" borderId="1" xfId="1" applyNumberFormat="1" applyFont="1" applyFill="1" applyBorder="1" applyAlignment="1">
      <alignment vertical="center"/>
    </xf>
    <xf numFmtId="164" fontId="13" fillId="3" borderId="1" xfId="1" applyNumberFormat="1" applyFont="1" applyFill="1" applyBorder="1" applyAlignment="1">
      <alignment vertical="center"/>
    </xf>
    <xf numFmtId="4" fontId="13" fillId="0" borderId="1" xfId="1" applyNumberFormat="1" applyFont="1" applyBorder="1" applyAlignment="1">
      <alignment vertical="center"/>
    </xf>
    <xf numFmtId="164" fontId="13" fillId="0" borderId="1" xfId="1" applyNumberFormat="1" applyFont="1" applyBorder="1" applyAlignment="1">
      <alignment vertical="center"/>
    </xf>
    <xf numFmtId="4" fontId="13" fillId="0" borderId="2" xfId="1" applyNumberFormat="1" applyFont="1" applyBorder="1" applyAlignment="1">
      <alignment vertical="center"/>
    </xf>
    <xf numFmtId="4" fontId="13" fillId="0" borderId="0" xfId="1" applyNumberFormat="1" applyFont="1" applyBorder="1" applyAlignment="1">
      <alignment vertical="center"/>
    </xf>
    <xf numFmtId="164" fontId="13" fillId="0" borderId="0" xfId="1" applyNumberFormat="1" applyFont="1" applyBorder="1" applyAlignment="1">
      <alignment vertical="center"/>
    </xf>
    <xf numFmtId="4" fontId="13" fillId="0" borderId="5" xfId="1" applyNumberFormat="1" applyFont="1" applyBorder="1" applyAlignment="1">
      <alignment vertical="center"/>
    </xf>
    <xf numFmtId="164" fontId="13" fillId="0" borderId="5" xfId="1" applyNumberFormat="1" applyFont="1" applyBorder="1" applyAlignment="1">
      <alignment vertical="center"/>
    </xf>
    <xf numFmtId="164" fontId="13" fillId="0" borderId="1" xfId="1" applyNumberFormat="1" applyFont="1" applyFill="1" applyBorder="1" applyAlignment="1">
      <alignment vertical="center"/>
    </xf>
    <xf numFmtId="4" fontId="13" fillId="0" borderId="2" xfId="1" applyNumberFormat="1" applyFont="1" applyFill="1" applyBorder="1" applyAlignment="1">
      <alignment vertical="center"/>
    </xf>
    <xf numFmtId="4" fontId="13" fillId="4" borderId="1" xfId="1" applyNumberFormat="1" applyFont="1" applyFill="1" applyBorder="1" applyAlignment="1">
      <alignment vertical="center"/>
    </xf>
    <xf numFmtId="4" fontId="20" fillId="6" borderId="4" xfId="1" applyNumberFormat="1" applyFont="1" applyFill="1" applyBorder="1" applyAlignment="1">
      <alignment horizontal="left" vertical="center"/>
    </xf>
    <xf numFmtId="4" fontId="20" fillId="6" borderId="1" xfId="1" applyNumberFormat="1" applyFont="1" applyFill="1" applyBorder="1" applyAlignment="1">
      <alignment horizontal="left" vertical="center"/>
    </xf>
    <xf numFmtId="0" fontId="20" fillId="5" borderId="20" xfId="0" applyFont="1" applyFill="1" applyBorder="1" applyAlignment="1">
      <alignment vertical="center"/>
    </xf>
    <xf numFmtId="0" fontId="20" fillId="5" borderId="21" xfId="0" applyFont="1" applyFill="1" applyBorder="1" applyAlignment="1">
      <alignment vertical="center"/>
    </xf>
    <xf numFmtId="0" fontId="20" fillId="0" borderId="22" xfId="0" applyFont="1" applyFill="1" applyBorder="1" applyAlignment="1">
      <alignment vertical="center"/>
    </xf>
    <xf numFmtId="0" fontId="20" fillId="5" borderId="5" xfId="0" applyFont="1" applyFill="1" applyBorder="1" applyAlignment="1">
      <alignment vertical="center"/>
    </xf>
    <xf numFmtId="0" fontId="20" fillId="5" borderId="19" xfId="0" applyFont="1" applyFill="1" applyBorder="1" applyAlignment="1">
      <alignment vertical="center"/>
    </xf>
    <xf numFmtId="165" fontId="17" fillId="5" borderId="1" xfId="0" applyNumberFormat="1" applyFont="1" applyFill="1" applyBorder="1" applyAlignment="1">
      <alignment horizontal="center" vertical="center" wrapText="1"/>
    </xf>
    <xf numFmtId="4" fontId="17" fillId="5" borderId="2" xfId="1" applyNumberFormat="1" applyFont="1" applyFill="1" applyBorder="1" applyAlignment="1">
      <alignment horizontal="center" vertical="center" wrapText="1"/>
    </xf>
    <xf numFmtId="4" fontId="17" fillId="5" borderId="1" xfId="1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3" fillId="0" borderId="18" xfId="0" applyFont="1" applyBorder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3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NumberFormat="1" applyFont="1" applyAlignment="1">
      <alignment vertical="center"/>
    </xf>
    <xf numFmtId="0" fontId="13" fillId="0" borderId="0" xfId="0" applyNumberFormat="1" applyFont="1" applyBorder="1" applyAlignment="1">
      <alignment vertical="center"/>
    </xf>
    <xf numFmtId="165" fontId="13" fillId="0" borderId="0" xfId="0" applyNumberFormat="1" applyFont="1" applyBorder="1" applyAlignment="1">
      <alignment vertical="center"/>
    </xf>
    <xf numFmtId="4" fontId="13" fillId="0" borderId="0" xfId="0" applyNumberFormat="1" applyFont="1" applyAlignment="1">
      <alignment vertical="center"/>
    </xf>
    <xf numFmtId="166" fontId="13" fillId="4" borderId="1" xfId="1" applyNumberFormat="1" applyFont="1" applyFill="1" applyBorder="1" applyAlignment="1">
      <alignment vertical="center"/>
    </xf>
    <xf numFmtId="166" fontId="13" fillId="0" borderId="1" xfId="1" applyNumberFormat="1" applyFont="1" applyFill="1" applyBorder="1" applyAlignment="1">
      <alignment vertical="center"/>
    </xf>
    <xf numFmtId="166" fontId="13" fillId="3" borderId="1" xfId="1" applyNumberFormat="1" applyFont="1" applyFill="1" applyBorder="1" applyAlignment="1">
      <alignment vertical="center"/>
    </xf>
    <xf numFmtId="166" fontId="13" fillId="0" borderId="0" xfId="1" applyNumberFormat="1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4" fontId="13" fillId="0" borderId="0" xfId="1" applyNumberFormat="1" applyFont="1" applyFill="1" applyBorder="1" applyAlignment="1">
      <alignment vertical="center"/>
    </xf>
    <xf numFmtId="4" fontId="13" fillId="0" borderId="0" xfId="0" applyNumberFormat="1" applyFont="1" applyFill="1" applyAlignment="1">
      <alignment vertical="center"/>
    </xf>
    <xf numFmtId="4" fontId="20" fillId="5" borderId="5" xfId="0" applyNumberFormat="1" applyFont="1" applyFill="1" applyBorder="1" applyAlignment="1">
      <alignment vertical="center"/>
    </xf>
    <xf numFmtId="4" fontId="13" fillId="0" borderId="6" xfId="0" applyNumberFormat="1" applyFont="1" applyBorder="1" applyAlignment="1">
      <alignment vertical="center"/>
    </xf>
    <xf numFmtId="4" fontId="13" fillId="0" borderId="0" xfId="0" applyNumberFormat="1" applyFont="1" applyBorder="1" applyAlignment="1">
      <alignment vertical="center"/>
    </xf>
    <xf numFmtId="0" fontId="22" fillId="6" borderId="1" xfId="0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4" fontId="13" fillId="0" borderId="1" xfId="0" applyNumberFormat="1" applyFont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4" fontId="13" fillId="7" borderId="1" xfId="1" applyNumberFormat="1" applyFont="1" applyFill="1" applyBorder="1" applyAlignment="1">
      <alignment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4" fontId="13" fillId="6" borderId="1" xfId="1" applyNumberFormat="1" applyFont="1" applyFill="1" applyBorder="1" applyAlignment="1">
      <alignment vertical="center"/>
    </xf>
    <xf numFmtId="167" fontId="13" fillId="0" borderId="0" xfId="0" applyNumberFormat="1" applyFont="1" applyAlignment="1">
      <alignment vertical="center"/>
    </xf>
    <xf numFmtId="10" fontId="13" fillId="0" borderId="0" xfId="2" applyNumberFormat="1" applyFont="1" applyAlignment="1">
      <alignment vertical="center"/>
    </xf>
    <xf numFmtId="165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165" fontId="21" fillId="0" borderId="0" xfId="0" applyNumberFormat="1" applyFont="1" applyAlignment="1"/>
    <xf numFmtId="165" fontId="13" fillId="0" borderId="0" xfId="0" applyNumberFormat="1" applyFont="1" applyAlignment="1"/>
    <xf numFmtId="0" fontId="13" fillId="0" borderId="0" xfId="0" applyFont="1" applyAlignment="1"/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13" fillId="8" borderId="1" xfId="0" applyNumberFormat="1" applyFont="1" applyFill="1" applyBorder="1" applyAlignment="1">
      <alignment vertical="center"/>
    </xf>
    <xf numFmtId="4" fontId="13" fillId="9" borderId="1" xfId="0" applyNumberFormat="1" applyFont="1" applyFill="1" applyBorder="1" applyAlignment="1">
      <alignment vertical="center"/>
    </xf>
    <xf numFmtId="4" fontId="13" fillId="10" borderId="1" xfId="0" applyNumberFormat="1" applyFont="1" applyFill="1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4" fontId="29" fillId="5" borderId="1" xfId="0" applyNumberFormat="1" applyFont="1" applyFill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4" fontId="18" fillId="5" borderId="2" xfId="1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22" fillId="6" borderId="1" xfId="0" applyFont="1" applyFill="1" applyBorder="1" applyAlignment="1">
      <alignment horizontal="center" vertical="center"/>
    </xf>
    <xf numFmtId="165" fontId="17" fillId="5" borderId="1" xfId="0" applyNumberFormat="1" applyFont="1" applyFill="1" applyBorder="1" applyAlignment="1">
      <alignment horizontal="left" vertical="center" wrapText="1"/>
    </xf>
    <xf numFmtId="0" fontId="33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0" fillId="5" borderId="1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22" fillId="6" borderId="1" xfId="0" applyFont="1" applyFill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4" fontId="23" fillId="0" borderId="2" xfId="1" applyNumberFormat="1" applyFont="1" applyFill="1" applyBorder="1" applyAlignment="1">
      <alignment horizontal="center" vertical="center"/>
    </xf>
    <xf numFmtId="4" fontId="23" fillId="0" borderId="5" xfId="1" applyNumberFormat="1" applyFont="1" applyFill="1" applyBorder="1" applyAlignment="1">
      <alignment horizontal="center" vertical="center"/>
    </xf>
    <xf numFmtId="4" fontId="23" fillId="0" borderId="3" xfId="1" applyNumberFormat="1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3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</cellXfs>
  <cellStyles count="3">
    <cellStyle name="Normal" xfId="0" builtinId="0"/>
    <cellStyle name="Normal_CONVENIOS 2000-2003" xfId="1" xr:uid="{00000000-0005-0000-0000-000001000000}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8"/>
  <sheetViews>
    <sheetView zoomScale="90" workbookViewId="0">
      <selection activeCell="G2" sqref="G2"/>
    </sheetView>
  </sheetViews>
  <sheetFormatPr baseColWidth="10" defaultColWidth="10.140625" defaultRowHeight="12.75" x14ac:dyDescent="0.2"/>
  <cols>
    <col min="1" max="1" width="6.85546875" style="10" bestFit="1" customWidth="1"/>
    <col min="2" max="2" width="24.85546875" style="37" customWidth="1"/>
    <col min="3" max="3" width="7.85546875" customWidth="1"/>
    <col min="4" max="4" width="8.85546875" style="38" hidden="1" customWidth="1"/>
    <col min="5" max="5" width="7.85546875" customWidth="1"/>
    <col min="6" max="6" width="9.42578125" style="38" hidden="1" customWidth="1"/>
    <col min="7" max="7" width="6.5703125" customWidth="1"/>
    <col min="8" max="8" width="7.85546875" style="38" hidden="1" customWidth="1"/>
    <col min="9" max="9" width="7.140625" customWidth="1"/>
    <col min="10" max="10" width="7.85546875" hidden="1" customWidth="1"/>
    <col min="11" max="11" width="7.85546875" customWidth="1"/>
    <col min="12" max="12" width="7.85546875" bestFit="1" customWidth="1"/>
    <col min="13" max="13" width="6.85546875" customWidth="1"/>
    <col min="14" max="14" width="5.140625" customWidth="1"/>
    <col min="15" max="15" width="10" customWidth="1"/>
    <col min="16" max="16" width="9.140625" customWidth="1"/>
    <col min="17" max="17" width="8.85546875" style="38" hidden="1" customWidth="1"/>
    <col min="18" max="18" width="10" customWidth="1"/>
    <col min="19" max="19" width="1.140625" customWidth="1"/>
    <col min="20" max="20" width="6.42578125" customWidth="1"/>
    <col min="21" max="21" width="27.85546875" customWidth="1"/>
    <col min="22" max="22" width="7.85546875" bestFit="1" customWidth="1"/>
    <col min="23" max="23" width="7.85546875" customWidth="1"/>
    <col min="24" max="24" width="8.85546875" bestFit="1" customWidth="1"/>
    <col min="25" max="25" width="6.85546875" bestFit="1" customWidth="1"/>
    <col min="26" max="26" width="10.5703125" customWidth="1"/>
    <col min="27" max="27" width="7.85546875" bestFit="1" customWidth="1"/>
    <col min="28" max="28" width="8" bestFit="1" customWidth="1"/>
    <col min="29" max="29" width="9" customWidth="1"/>
    <col min="30" max="30" width="8.140625" customWidth="1"/>
    <col min="31" max="31" width="9" customWidth="1"/>
  </cols>
  <sheetData>
    <row r="1" spans="1:18" ht="32.25" customHeight="1" x14ac:dyDescent="0.2">
      <c r="A1" s="1" t="s">
        <v>0</v>
      </c>
      <c r="B1" s="2" t="s">
        <v>1</v>
      </c>
      <c r="C1" s="3" t="s">
        <v>2</v>
      </c>
      <c r="D1" s="4">
        <v>110021</v>
      </c>
      <c r="E1" s="3" t="s">
        <v>3</v>
      </c>
      <c r="F1" s="5">
        <v>15220</v>
      </c>
      <c r="G1" s="3" t="s">
        <v>4</v>
      </c>
      <c r="H1" s="5">
        <v>116220</v>
      </c>
      <c r="I1" s="3" t="s">
        <v>5</v>
      </c>
      <c r="J1" s="6">
        <v>117520</v>
      </c>
      <c r="K1" s="3" t="s">
        <v>6</v>
      </c>
      <c r="L1" s="7" t="s">
        <v>7</v>
      </c>
      <c r="M1" s="7" t="s">
        <v>8</v>
      </c>
      <c r="N1" s="3" t="s">
        <v>9</v>
      </c>
      <c r="O1" s="3" t="s">
        <v>10</v>
      </c>
      <c r="P1" s="7" t="s">
        <v>11</v>
      </c>
      <c r="Q1" s="8">
        <v>110900</v>
      </c>
      <c r="R1" s="9" t="s">
        <v>12</v>
      </c>
    </row>
    <row r="2" spans="1:18" ht="18" customHeight="1" x14ac:dyDescent="0.2">
      <c r="B2" s="11" t="s">
        <v>13</v>
      </c>
      <c r="C2" s="12"/>
      <c r="D2" s="13"/>
      <c r="E2" s="12"/>
      <c r="F2" s="13"/>
      <c r="G2" s="12"/>
      <c r="H2" s="13"/>
      <c r="I2" s="12"/>
      <c r="J2" s="12"/>
      <c r="K2" s="14"/>
      <c r="L2" s="15"/>
      <c r="M2" s="12"/>
      <c r="N2" s="16"/>
      <c r="O2" s="16"/>
      <c r="P2" s="17"/>
      <c r="Q2" s="18"/>
      <c r="R2" s="19"/>
    </row>
    <row r="3" spans="1:18" ht="18" customHeight="1" x14ac:dyDescent="0.2">
      <c r="A3" s="20">
        <v>102</v>
      </c>
      <c r="B3" s="21" t="s">
        <v>14</v>
      </c>
      <c r="C3" s="22">
        <v>1409.4</v>
      </c>
      <c r="D3" s="23">
        <f t="shared" ref="D3:D8" si="0">C3/30</f>
        <v>46.980000000000004</v>
      </c>
      <c r="E3" s="22">
        <v>60</v>
      </c>
      <c r="F3" s="23">
        <f t="shared" ref="F3:F8" si="1">E3/30</f>
        <v>2</v>
      </c>
      <c r="G3" s="22"/>
      <c r="H3" s="24"/>
      <c r="I3" s="22"/>
      <c r="J3" s="22"/>
      <c r="K3" s="22">
        <f t="shared" ref="K3:K8" si="2">C3+E3+G3+I3</f>
        <v>1469.4</v>
      </c>
      <c r="L3" s="25"/>
      <c r="M3" s="25"/>
      <c r="N3" s="22">
        <v>0.21</v>
      </c>
      <c r="O3" s="22">
        <v>111.7</v>
      </c>
      <c r="P3" s="25">
        <v>70.47</v>
      </c>
      <c r="Q3" s="23">
        <f t="shared" ref="Q3:Q8" si="3">P3/30</f>
        <v>2.3489999999999998</v>
      </c>
      <c r="R3" s="26">
        <v>44.97</v>
      </c>
    </row>
    <row r="4" spans="1:18" ht="18" customHeight="1" x14ac:dyDescent="0.2">
      <c r="A4" s="20">
        <v>105</v>
      </c>
      <c r="B4" s="21" t="s">
        <v>15</v>
      </c>
      <c r="C4" s="22">
        <v>1339.5</v>
      </c>
      <c r="D4" s="23">
        <f t="shared" si="0"/>
        <v>44.65</v>
      </c>
      <c r="E4" s="22">
        <v>60</v>
      </c>
      <c r="F4" s="23">
        <f t="shared" si="1"/>
        <v>2</v>
      </c>
      <c r="G4" s="22"/>
      <c r="H4" s="24"/>
      <c r="I4" s="22"/>
      <c r="J4" s="22"/>
      <c r="K4" s="22">
        <f t="shared" si="2"/>
        <v>1399.5</v>
      </c>
      <c r="L4" s="25"/>
      <c r="M4" s="25"/>
      <c r="N4" s="22">
        <v>0.21</v>
      </c>
      <c r="O4" s="22">
        <v>111.7</v>
      </c>
      <c r="P4" s="25">
        <v>66.97</v>
      </c>
      <c r="Q4" s="23">
        <f t="shared" si="3"/>
        <v>2.2323333333333335</v>
      </c>
      <c r="R4" s="26">
        <v>44.97</v>
      </c>
    </row>
    <row r="5" spans="1:18" ht="18" customHeight="1" x14ac:dyDescent="0.2">
      <c r="A5" s="20">
        <v>109</v>
      </c>
      <c r="B5" s="21" t="s">
        <v>16</v>
      </c>
      <c r="C5" s="22">
        <v>1339.5</v>
      </c>
      <c r="D5" s="23">
        <f t="shared" si="0"/>
        <v>44.65</v>
      </c>
      <c r="E5" s="22">
        <v>60</v>
      </c>
      <c r="F5" s="23">
        <f t="shared" si="1"/>
        <v>2</v>
      </c>
      <c r="G5" s="22"/>
      <c r="H5" s="24"/>
      <c r="I5" s="22"/>
      <c r="J5" s="22"/>
      <c r="K5" s="22">
        <f t="shared" si="2"/>
        <v>1399.5</v>
      </c>
      <c r="L5" s="25"/>
      <c r="M5" s="25"/>
      <c r="N5" s="22">
        <v>0.21</v>
      </c>
      <c r="O5" s="22">
        <v>111.7</v>
      </c>
      <c r="P5" s="25">
        <v>66.97</v>
      </c>
      <c r="Q5" s="23">
        <f t="shared" si="3"/>
        <v>2.2323333333333335</v>
      </c>
      <c r="R5" s="26">
        <v>44.97</v>
      </c>
    </row>
    <row r="6" spans="1:18" ht="18" customHeight="1" x14ac:dyDescent="0.2">
      <c r="A6" s="20">
        <v>122</v>
      </c>
      <c r="B6" s="21" t="s">
        <v>17</v>
      </c>
      <c r="C6" s="22">
        <v>1273.25</v>
      </c>
      <c r="D6" s="23">
        <f t="shared" si="0"/>
        <v>42.44166666666667</v>
      </c>
      <c r="E6" s="22">
        <v>60</v>
      </c>
      <c r="F6" s="23">
        <f t="shared" si="1"/>
        <v>2</v>
      </c>
      <c r="G6" s="22"/>
      <c r="H6" s="24"/>
      <c r="I6" s="22"/>
      <c r="J6" s="22"/>
      <c r="K6" s="22">
        <f t="shared" si="2"/>
        <v>1333.25</v>
      </c>
      <c r="L6" s="25"/>
      <c r="M6" s="25"/>
      <c r="N6" s="22">
        <v>0.21</v>
      </c>
      <c r="O6" s="22">
        <v>111.7</v>
      </c>
      <c r="P6" s="25">
        <v>63.66</v>
      </c>
      <c r="Q6" s="23">
        <f t="shared" si="3"/>
        <v>2.1219999999999999</v>
      </c>
      <c r="R6" s="26">
        <v>44.97</v>
      </c>
    </row>
    <row r="7" spans="1:18" ht="18" customHeight="1" x14ac:dyDescent="0.2">
      <c r="A7" s="20">
        <v>113</v>
      </c>
      <c r="B7" s="21" t="s">
        <v>18</v>
      </c>
      <c r="C7" s="22">
        <v>1273.25</v>
      </c>
      <c r="D7" s="23">
        <f t="shared" si="0"/>
        <v>42.44166666666667</v>
      </c>
      <c r="E7" s="22">
        <v>60</v>
      </c>
      <c r="F7" s="23">
        <f t="shared" si="1"/>
        <v>2</v>
      </c>
      <c r="G7" s="22"/>
      <c r="H7" s="24"/>
      <c r="I7" s="22"/>
      <c r="J7" s="22"/>
      <c r="K7" s="22">
        <f t="shared" si="2"/>
        <v>1333.25</v>
      </c>
      <c r="L7" s="25"/>
      <c r="M7" s="25"/>
      <c r="N7" s="22">
        <v>0.21</v>
      </c>
      <c r="O7" s="22">
        <v>111.7</v>
      </c>
      <c r="P7" s="25">
        <v>63.66</v>
      </c>
      <c r="Q7" s="23">
        <f t="shared" si="3"/>
        <v>2.1219999999999999</v>
      </c>
      <c r="R7" s="26">
        <v>44.97</v>
      </c>
    </row>
    <row r="8" spans="1:18" ht="18" customHeight="1" x14ac:dyDescent="0.2">
      <c r="A8" s="20">
        <v>114</v>
      </c>
      <c r="B8" s="21" t="s">
        <v>19</v>
      </c>
      <c r="C8" s="22">
        <v>1210.32</v>
      </c>
      <c r="D8" s="23">
        <f t="shared" si="0"/>
        <v>40.344000000000001</v>
      </c>
      <c r="E8" s="22">
        <v>60</v>
      </c>
      <c r="F8" s="23">
        <f t="shared" si="1"/>
        <v>2</v>
      </c>
      <c r="G8" s="22"/>
      <c r="H8" s="24"/>
      <c r="I8" s="22"/>
      <c r="J8" s="22"/>
      <c r="K8" s="22">
        <f t="shared" si="2"/>
        <v>1270.32</v>
      </c>
      <c r="L8" s="25"/>
      <c r="M8" s="25"/>
      <c r="N8" s="22">
        <v>0.21</v>
      </c>
      <c r="O8" s="22">
        <v>111.7</v>
      </c>
      <c r="P8" s="25">
        <v>60.52</v>
      </c>
      <c r="Q8" s="23">
        <f t="shared" si="3"/>
        <v>2.0173333333333336</v>
      </c>
      <c r="R8" s="26">
        <v>44.97</v>
      </c>
    </row>
    <row r="9" spans="1:18" ht="18" customHeight="1" x14ac:dyDescent="0.2">
      <c r="B9" s="27" t="s">
        <v>20</v>
      </c>
      <c r="C9" s="28"/>
      <c r="D9" s="29"/>
      <c r="E9" s="28"/>
      <c r="F9" s="29"/>
      <c r="G9" s="12"/>
      <c r="H9" s="13"/>
      <c r="I9" s="12"/>
      <c r="J9" s="12"/>
      <c r="K9" s="14"/>
      <c r="L9" s="18"/>
      <c r="M9" s="18"/>
      <c r="N9" s="28"/>
      <c r="O9" s="28"/>
      <c r="P9" s="18"/>
      <c r="Q9" s="30"/>
      <c r="R9" s="19"/>
    </row>
    <row r="10" spans="1:18" ht="18" customHeight="1" x14ac:dyDescent="0.2">
      <c r="A10" s="20">
        <v>201</v>
      </c>
      <c r="B10" s="21" t="s">
        <v>21</v>
      </c>
      <c r="C10" s="22">
        <v>1216.69</v>
      </c>
      <c r="D10" s="23">
        <f t="shared" ref="D10:D16" si="4">C10/30</f>
        <v>40.556333333333335</v>
      </c>
      <c r="E10" s="22">
        <v>60</v>
      </c>
      <c r="F10" s="23">
        <f t="shared" ref="F10:F16" si="5">E10/30</f>
        <v>2</v>
      </c>
      <c r="G10" s="22"/>
      <c r="H10" s="24"/>
      <c r="I10" s="22"/>
      <c r="J10" s="22"/>
      <c r="K10" s="22">
        <f t="shared" ref="K10:K16" si="6">C10+E10+G10+I10</f>
        <v>1276.69</v>
      </c>
      <c r="L10" s="25">
        <v>14.25</v>
      </c>
      <c r="M10" s="25">
        <v>1.89</v>
      </c>
      <c r="N10" s="22">
        <v>0.21</v>
      </c>
      <c r="O10" s="22">
        <v>111.7</v>
      </c>
      <c r="P10" s="25">
        <v>60.83</v>
      </c>
      <c r="Q10" s="23">
        <f t="shared" ref="Q10:Q16" si="7">P10/30</f>
        <v>2.0276666666666667</v>
      </c>
      <c r="R10" s="26">
        <v>44.97</v>
      </c>
    </row>
    <row r="11" spans="1:18" ht="18" customHeight="1" x14ac:dyDescent="0.2">
      <c r="A11" s="20">
        <v>202</v>
      </c>
      <c r="B11" s="21" t="s">
        <v>22</v>
      </c>
      <c r="C11" s="22">
        <v>1088.8499999999999</v>
      </c>
      <c r="D11" s="23">
        <f t="shared" si="4"/>
        <v>36.294999999999995</v>
      </c>
      <c r="E11" s="22">
        <v>60</v>
      </c>
      <c r="F11" s="23">
        <f t="shared" si="5"/>
        <v>2</v>
      </c>
      <c r="G11" s="22"/>
      <c r="H11" s="24"/>
      <c r="I11" s="22"/>
      <c r="J11" s="22"/>
      <c r="K11" s="22">
        <f t="shared" si="6"/>
        <v>1148.8499999999999</v>
      </c>
      <c r="L11" s="25">
        <v>14.05</v>
      </c>
      <c r="M11" s="25">
        <v>1.69</v>
      </c>
      <c r="N11" s="22">
        <v>0.21</v>
      </c>
      <c r="O11" s="22">
        <v>111.7</v>
      </c>
      <c r="P11" s="25">
        <v>54.44</v>
      </c>
      <c r="Q11" s="23">
        <f t="shared" si="7"/>
        <v>1.8146666666666667</v>
      </c>
      <c r="R11" s="26">
        <v>44.97</v>
      </c>
    </row>
    <row r="12" spans="1:18" ht="18" customHeight="1" x14ac:dyDescent="0.2">
      <c r="A12" s="20">
        <v>203</v>
      </c>
      <c r="B12" s="21" t="s">
        <v>23</v>
      </c>
      <c r="C12" s="22">
        <v>895.48</v>
      </c>
      <c r="D12" s="23">
        <f t="shared" si="4"/>
        <v>29.849333333333334</v>
      </c>
      <c r="E12" s="22">
        <v>60</v>
      </c>
      <c r="F12" s="23">
        <f t="shared" si="5"/>
        <v>2</v>
      </c>
      <c r="G12" s="22"/>
      <c r="H12" s="24"/>
      <c r="I12" s="22"/>
      <c r="J12" s="22"/>
      <c r="K12" s="22">
        <f t="shared" si="6"/>
        <v>955.48</v>
      </c>
      <c r="L12" s="25">
        <v>12.73</v>
      </c>
      <c r="M12" s="25">
        <v>1.38</v>
      </c>
      <c r="N12" s="22">
        <v>0.21</v>
      </c>
      <c r="O12" s="22">
        <v>111.7</v>
      </c>
      <c r="P12" s="25">
        <v>44.77</v>
      </c>
      <c r="Q12" s="23">
        <f t="shared" si="7"/>
        <v>1.4923333333333335</v>
      </c>
      <c r="R12" s="26">
        <v>44.97</v>
      </c>
    </row>
    <row r="13" spans="1:18" ht="18" customHeight="1" x14ac:dyDescent="0.2">
      <c r="A13" s="20">
        <v>204</v>
      </c>
      <c r="B13" s="21" t="s">
        <v>24</v>
      </c>
      <c r="C13" s="22">
        <v>822.29</v>
      </c>
      <c r="D13" s="23">
        <f t="shared" si="4"/>
        <v>27.409666666666666</v>
      </c>
      <c r="E13" s="22">
        <v>60</v>
      </c>
      <c r="F13" s="23">
        <f t="shared" si="5"/>
        <v>2</v>
      </c>
      <c r="G13" s="22"/>
      <c r="H13" s="24"/>
      <c r="I13" s="22"/>
      <c r="J13" s="22"/>
      <c r="K13" s="22">
        <f t="shared" si="6"/>
        <v>882.29</v>
      </c>
      <c r="L13" s="25">
        <v>9.56</v>
      </c>
      <c r="M13" s="25">
        <v>1.27</v>
      </c>
      <c r="N13" s="22">
        <v>0.21</v>
      </c>
      <c r="O13" s="22">
        <v>111.7</v>
      </c>
      <c r="P13" s="25">
        <v>41.11</v>
      </c>
      <c r="Q13" s="23">
        <f t="shared" si="7"/>
        <v>1.3703333333333334</v>
      </c>
      <c r="R13" s="26">
        <v>44.97</v>
      </c>
    </row>
    <row r="14" spans="1:18" ht="18" customHeight="1" x14ac:dyDescent="0.2">
      <c r="A14" s="20">
        <v>206</v>
      </c>
      <c r="B14" s="21" t="s">
        <v>25</v>
      </c>
      <c r="C14" s="22">
        <v>646.4</v>
      </c>
      <c r="D14" s="23">
        <f t="shared" si="4"/>
        <v>21.546666666666667</v>
      </c>
      <c r="E14" s="22">
        <v>60</v>
      </c>
      <c r="F14" s="23">
        <f t="shared" si="5"/>
        <v>2</v>
      </c>
      <c r="G14" s="22"/>
      <c r="H14" s="24"/>
      <c r="I14" s="22"/>
      <c r="J14" s="22"/>
      <c r="K14" s="22">
        <f t="shared" si="6"/>
        <v>706.4</v>
      </c>
      <c r="L14" s="25">
        <v>7.5</v>
      </c>
      <c r="M14" s="25">
        <v>0.99</v>
      </c>
      <c r="N14" s="22">
        <v>0.21</v>
      </c>
      <c r="O14" s="22">
        <v>111.7</v>
      </c>
      <c r="P14" s="25">
        <v>32.32</v>
      </c>
      <c r="Q14" s="23">
        <f t="shared" si="7"/>
        <v>1.0773333333333333</v>
      </c>
      <c r="R14" s="26">
        <v>44.97</v>
      </c>
    </row>
    <row r="15" spans="1:18" ht="18" customHeight="1" x14ac:dyDescent="0.2">
      <c r="A15" s="20">
        <v>210</v>
      </c>
      <c r="B15" s="21" t="s">
        <v>26</v>
      </c>
      <c r="C15" s="22">
        <v>571.37</v>
      </c>
      <c r="D15" s="23">
        <f t="shared" si="4"/>
        <v>19.045666666666666</v>
      </c>
      <c r="E15" s="22">
        <v>60</v>
      </c>
      <c r="F15" s="23">
        <f t="shared" si="5"/>
        <v>2</v>
      </c>
      <c r="G15" s="22"/>
      <c r="H15" s="24"/>
      <c r="I15" s="22"/>
      <c r="J15" s="22"/>
      <c r="K15" s="22">
        <f t="shared" si="6"/>
        <v>631.37</v>
      </c>
      <c r="L15" s="25">
        <v>5.2</v>
      </c>
      <c r="M15" s="25">
        <v>0.88</v>
      </c>
      <c r="N15" s="22">
        <v>0.21</v>
      </c>
      <c r="O15" s="22">
        <v>111.7</v>
      </c>
      <c r="P15" s="25">
        <v>28.57</v>
      </c>
      <c r="Q15" s="23">
        <f t="shared" si="7"/>
        <v>0.95233333333333337</v>
      </c>
      <c r="R15" s="26">
        <v>44.97</v>
      </c>
    </row>
    <row r="16" spans="1:18" ht="18" customHeight="1" x14ac:dyDescent="0.2">
      <c r="A16" s="20">
        <v>209</v>
      </c>
      <c r="B16" s="21" t="s">
        <v>27</v>
      </c>
      <c r="C16" s="22">
        <v>646.4</v>
      </c>
      <c r="D16" s="23">
        <f t="shared" si="4"/>
        <v>21.546666666666667</v>
      </c>
      <c r="E16" s="22">
        <v>60</v>
      </c>
      <c r="F16" s="23">
        <f t="shared" si="5"/>
        <v>2</v>
      </c>
      <c r="G16" s="22"/>
      <c r="H16" s="24"/>
      <c r="I16" s="22"/>
      <c r="J16" s="22"/>
      <c r="K16" s="22">
        <f t="shared" si="6"/>
        <v>706.4</v>
      </c>
      <c r="L16" s="25">
        <v>7.5</v>
      </c>
      <c r="M16" s="25">
        <v>0.99</v>
      </c>
      <c r="N16" s="22">
        <v>0.21</v>
      </c>
      <c r="O16" s="22">
        <v>111.7</v>
      </c>
      <c r="P16" s="25">
        <v>32.32</v>
      </c>
      <c r="Q16" s="23">
        <f t="shared" si="7"/>
        <v>1.0773333333333333</v>
      </c>
      <c r="R16" s="26">
        <v>44.97</v>
      </c>
    </row>
    <row r="17" spans="1:18" ht="18" customHeight="1" x14ac:dyDescent="0.2">
      <c r="B17" s="27" t="s">
        <v>28</v>
      </c>
      <c r="C17" s="28"/>
      <c r="D17" s="29"/>
      <c r="E17" s="28"/>
      <c r="F17" s="29"/>
      <c r="G17" s="28"/>
      <c r="H17" s="29"/>
      <c r="I17" s="28"/>
      <c r="J17" s="28"/>
      <c r="K17" s="14"/>
      <c r="L17" s="18"/>
      <c r="M17" s="18"/>
      <c r="N17" s="28"/>
      <c r="O17" s="28"/>
      <c r="P17" s="18"/>
      <c r="Q17" s="30"/>
      <c r="R17" s="19"/>
    </row>
    <row r="18" spans="1:18" ht="18" customHeight="1" x14ac:dyDescent="0.2">
      <c r="A18" s="20">
        <v>504</v>
      </c>
      <c r="B18" s="21" t="s">
        <v>29</v>
      </c>
      <c r="C18" s="22">
        <v>1210.32</v>
      </c>
      <c r="D18" s="23">
        <f>C18/30</f>
        <v>40.344000000000001</v>
      </c>
      <c r="E18" s="22">
        <v>60</v>
      </c>
      <c r="F18" s="23">
        <f>E18/30</f>
        <v>2</v>
      </c>
      <c r="G18" s="22"/>
      <c r="H18" s="24"/>
      <c r="I18" s="22"/>
      <c r="J18" s="22"/>
      <c r="K18" s="22">
        <f>C18+E18+G18+I18</f>
        <v>1270.32</v>
      </c>
      <c r="L18" s="25">
        <v>14.08</v>
      </c>
      <c r="M18" s="25">
        <v>1.89</v>
      </c>
      <c r="N18" s="22">
        <v>0.21</v>
      </c>
      <c r="O18" s="22">
        <v>111.7</v>
      </c>
      <c r="P18" s="25">
        <v>60.52</v>
      </c>
      <c r="Q18" s="23">
        <f>P18/30</f>
        <v>2.0173333333333336</v>
      </c>
      <c r="R18" s="26">
        <v>44.97</v>
      </c>
    </row>
    <row r="19" spans="1:18" ht="18" customHeight="1" x14ac:dyDescent="0.2">
      <c r="A19" s="20">
        <v>227</v>
      </c>
      <c r="B19" s="21" t="s">
        <v>30</v>
      </c>
      <c r="C19" s="22">
        <v>895.48</v>
      </c>
      <c r="D19" s="23">
        <f>C19/30</f>
        <v>29.849333333333334</v>
      </c>
      <c r="E19" s="22">
        <v>60</v>
      </c>
      <c r="F19" s="23">
        <f>E19/30</f>
        <v>2</v>
      </c>
      <c r="G19" s="22"/>
      <c r="H19" s="24"/>
      <c r="I19" s="22"/>
      <c r="J19" s="22"/>
      <c r="K19" s="22">
        <f>C19+E19+G19+I19</f>
        <v>955.48</v>
      </c>
      <c r="L19" s="25">
        <v>10.44</v>
      </c>
      <c r="M19" s="25">
        <v>1.38</v>
      </c>
      <c r="N19" s="22">
        <v>0.21</v>
      </c>
      <c r="O19" s="22">
        <v>111.7</v>
      </c>
      <c r="P19" s="25">
        <v>44.77</v>
      </c>
      <c r="Q19" s="23">
        <f>P19/30</f>
        <v>1.4923333333333335</v>
      </c>
      <c r="R19" s="26">
        <v>44.97</v>
      </c>
    </row>
    <row r="20" spans="1:18" ht="18" customHeight="1" x14ac:dyDescent="0.2">
      <c r="B20" s="27" t="s">
        <v>31</v>
      </c>
      <c r="C20" s="28"/>
      <c r="D20" s="29"/>
      <c r="E20" s="28"/>
      <c r="F20" s="29"/>
      <c r="G20" s="28"/>
      <c r="H20" s="29"/>
      <c r="I20" s="28"/>
      <c r="J20" s="28"/>
      <c r="K20" s="14"/>
      <c r="L20" s="18"/>
      <c r="M20" s="18"/>
      <c r="N20" s="28"/>
      <c r="O20" s="28"/>
      <c r="P20" s="18"/>
      <c r="Q20" s="30"/>
      <c r="R20" s="19"/>
    </row>
    <row r="21" spans="1:18" ht="18" customHeight="1" x14ac:dyDescent="0.2">
      <c r="A21" s="20">
        <v>42</v>
      </c>
      <c r="B21" s="21" t="s">
        <v>32</v>
      </c>
      <c r="C21" s="22">
        <v>600.07000000000005</v>
      </c>
      <c r="D21" s="23">
        <f t="shared" ref="D21:D26" si="8">C21/30</f>
        <v>20.002333333333336</v>
      </c>
      <c r="E21" s="22">
        <v>60</v>
      </c>
      <c r="F21" s="23">
        <f>E21/30</f>
        <v>2</v>
      </c>
      <c r="G21" s="22">
        <v>24</v>
      </c>
      <c r="H21" s="23">
        <f t="shared" ref="H21:H26" si="9">G21/30</f>
        <v>0.8</v>
      </c>
      <c r="I21" s="22"/>
      <c r="J21" s="22"/>
      <c r="K21" s="22">
        <f t="shared" ref="K21:K26" si="10">C21+E21+G21+I21</f>
        <v>684.07</v>
      </c>
      <c r="L21" s="25">
        <v>6.3</v>
      </c>
      <c r="M21" s="25">
        <v>0.9</v>
      </c>
      <c r="N21" s="22">
        <v>0.21</v>
      </c>
      <c r="O21" s="22">
        <v>111.7</v>
      </c>
      <c r="P21" s="25">
        <v>30</v>
      </c>
      <c r="Q21" s="23">
        <f t="shared" ref="Q21:Q26" si="11">P21/30</f>
        <v>1</v>
      </c>
      <c r="R21" s="26">
        <v>44.97</v>
      </c>
    </row>
    <row r="22" spans="1:18" ht="18" customHeight="1" x14ac:dyDescent="0.2">
      <c r="A22" s="20">
        <v>205</v>
      </c>
      <c r="B22" s="21" t="s">
        <v>33</v>
      </c>
      <c r="C22" s="22">
        <v>600.07000000000005</v>
      </c>
      <c r="D22" s="23">
        <f t="shared" si="8"/>
        <v>20.002333333333336</v>
      </c>
      <c r="E22" s="22">
        <v>60</v>
      </c>
      <c r="F22" s="23">
        <f>E22/30</f>
        <v>2</v>
      </c>
      <c r="G22" s="22">
        <v>24</v>
      </c>
      <c r="H22" s="23">
        <f t="shared" si="9"/>
        <v>0.8</v>
      </c>
      <c r="I22" s="22"/>
      <c r="J22" s="22"/>
      <c r="K22" s="22">
        <f t="shared" si="10"/>
        <v>684.07</v>
      </c>
      <c r="L22" s="25">
        <v>6.3</v>
      </c>
      <c r="M22" s="25">
        <v>0.9</v>
      </c>
      <c r="N22" s="22">
        <v>0.21</v>
      </c>
      <c r="O22" s="22">
        <v>111.7</v>
      </c>
      <c r="P22" s="25">
        <v>30</v>
      </c>
      <c r="Q22" s="23">
        <f t="shared" si="11"/>
        <v>1</v>
      </c>
      <c r="R22" s="26">
        <v>44.97</v>
      </c>
    </row>
    <row r="23" spans="1:18" ht="18" customHeight="1" x14ac:dyDescent="0.2">
      <c r="A23" s="20">
        <v>44</v>
      </c>
      <c r="B23" s="21" t="s">
        <v>34</v>
      </c>
      <c r="C23" s="22">
        <v>600.07000000000005</v>
      </c>
      <c r="D23" s="23">
        <f t="shared" si="8"/>
        <v>20.002333333333336</v>
      </c>
      <c r="E23" s="22">
        <v>60</v>
      </c>
      <c r="F23" s="23">
        <f>E23/30</f>
        <v>2</v>
      </c>
      <c r="G23" s="22">
        <v>24</v>
      </c>
      <c r="H23" s="23">
        <f t="shared" si="9"/>
        <v>0.8</v>
      </c>
      <c r="I23" s="22"/>
      <c r="J23" s="22"/>
      <c r="K23" s="22">
        <f t="shared" si="10"/>
        <v>684.07</v>
      </c>
      <c r="L23" s="25">
        <v>6.3</v>
      </c>
      <c r="M23" s="25">
        <v>0.9</v>
      </c>
      <c r="N23" s="22">
        <v>0.21</v>
      </c>
      <c r="O23" s="22">
        <v>111.7</v>
      </c>
      <c r="P23" s="25">
        <v>30</v>
      </c>
      <c r="Q23" s="23">
        <f t="shared" si="11"/>
        <v>1</v>
      </c>
      <c r="R23" s="26">
        <v>44.97</v>
      </c>
    </row>
    <row r="24" spans="1:18" ht="18" customHeight="1" x14ac:dyDescent="0.2">
      <c r="A24" s="20"/>
      <c r="B24" s="21" t="s">
        <v>35</v>
      </c>
      <c r="C24" s="22">
        <v>600.07000000000005</v>
      </c>
      <c r="D24" s="23">
        <f t="shared" si="8"/>
        <v>20.002333333333336</v>
      </c>
      <c r="E24" s="22">
        <v>60</v>
      </c>
      <c r="F24" s="23">
        <f>E24/30</f>
        <v>2</v>
      </c>
      <c r="G24" s="22">
        <v>24</v>
      </c>
      <c r="H24" s="23">
        <f t="shared" si="9"/>
        <v>0.8</v>
      </c>
      <c r="I24" s="22"/>
      <c r="J24" s="22"/>
      <c r="K24" s="22">
        <f t="shared" si="10"/>
        <v>684.07</v>
      </c>
      <c r="L24" s="25">
        <v>6.3</v>
      </c>
      <c r="M24" s="25">
        <v>0.9</v>
      </c>
      <c r="N24" s="22">
        <v>0.21</v>
      </c>
      <c r="O24" s="22">
        <v>111.7</v>
      </c>
      <c r="P24" s="25">
        <v>30</v>
      </c>
      <c r="Q24" s="23">
        <f t="shared" si="11"/>
        <v>1</v>
      </c>
      <c r="R24" s="26">
        <v>44.97</v>
      </c>
    </row>
    <row r="25" spans="1:18" ht="18" customHeight="1" x14ac:dyDescent="0.2">
      <c r="A25" s="20"/>
      <c r="B25" s="21" t="s">
        <v>36</v>
      </c>
      <c r="C25" s="22">
        <v>600.07000000000005</v>
      </c>
      <c r="D25" s="23">
        <f t="shared" si="8"/>
        <v>20.002333333333336</v>
      </c>
      <c r="E25" s="22">
        <v>60</v>
      </c>
      <c r="F25" s="23"/>
      <c r="G25" s="22">
        <v>24</v>
      </c>
      <c r="H25" s="23">
        <f t="shared" si="9"/>
        <v>0.8</v>
      </c>
      <c r="I25" s="22"/>
      <c r="J25" s="22"/>
      <c r="K25" s="22">
        <f t="shared" si="10"/>
        <v>684.07</v>
      </c>
      <c r="L25" s="25">
        <v>6.3</v>
      </c>
      <c r="M25" s="25">
        <v>0.9</v>
      </c>
      <c r="N25" s="22">
        <v>0.21</v>
      </c>
      <c r="O25" s="22">
        <v>111.7</v>
      </c>
      <c r="P25" s="25">
        <v>30</v>
      </c>
      <c r="Q25" s="23">
        <f t="shared" si="11"/>
        <v>1</v>
      </c>
      <c r="R25" s="26">
        <v>44.97</v>
      </c>
    </row>
    <row r="26" spans="1:18" ht="18" customHeight="1" x14ac:dyDescent="0.2">
      <c r="A26" s="20">
        <v>46</v>
      </c>
      <c r="B26" s="21" t="s">
        <v>37</v>
      </c>
      <c r="C26" s="22">
        <v>636.70000000000005</v>
      </c>
      <c r="D26" s="23">
        <f t="shared" si="8"/>
        <v>21.223333333333336</v>
      </c>
      <c r="E26" s="22">
        <v>60</v>
      </c>
      <c r="F26" s="23">
        <f>E26/30</f>
        <v>2</v>
      </c>
      <c r="G26" s="22">
        <v>24</v>
      </c>
      <c r="H26" s="23">
        <f t="shared" si="9"/>
        <v>0.8</v>
      </c>
      <c r="I26" s="22">
        <v>73.540000000000006</v>
      </c>
      <c r="J26" s="23">
        <f>I26/30</f>
        <v>2.4513333333333334</v>
      </c>
      <c r="K26" s="22">
        <f t="shared" si="10"/>
        <v>794.24</v>
      </c>
      <c r="L26" s="25">
        <v>7.27</v>
      </c>
      <c r="M26" s="25">
        <v>0.97</v>
      </c>
      <c r="N26" s="22">
        <v>0.21</v>
      </c>
      <c r="O26" s="22">
        <v>111.7</v>
      </c>
      <c r="P26" s="25">
        <v>31.84</v>
      </c>
      <c r="Q26" s="23">
        <f t="shared" si="11"/>
        <v>1.0613333333333332</v>
      </c>
      <c r="R26" s="26">
        <v>44.97</v>
      </c>
    </row>
    <row r="27" spans="1:18" ht="18" customHeight="1" x14ac:dyDescent="0.2">
      <c r="B27" s="27" t="s">
        <v>38</v>
      </c>
      <c r="C27" s="28"/>
      <c r="D27" s="29"/>
      <c r="E27" s="28"/>
      <c r="F27" s="29"/>
      <c r="G27" s="28"/>
      <c r="H27" s="29"/>
      <c r="I27" s="28"/>
      <c r="J27" s="28"/>
      <c r="K27" s="31"/>
      <c r="L27" s="18"/>
      <c r="M27" s="18"/>
      <c r="N27" s="28"/>
      <c r="O27" s="28"/>
      <c r="P27" s="18"/>
      <c r="Q27" s="30"/>
      <c r="R27" s="19"/>
    </row>
    <row r="28" spans="1:18" ht="18" customHeight="1" x14ac:dyDescent="0.2">
      <c r="A28" s="20">
        <v>51</v>
      </c>
      <c r="B28" s="21" t="s">
        <v>39</v>
      </c>
      <c r="C28" s="22">
        <v>605.38</v>
      </c>
      <c r="D28" s="23">
        <f>C28/30</f>
        <v>20.179333333333332</v>
      </c>
      <c r="E28" s="22">
        <v>60</v>
      </c>
      <c r="F28" s="23">
        <f>E28/30</f>
        <v>2</v>
      </c>
      <c r="G28" s="22"/>
      <c r="H28" s="24"/>
      <c r="I28" s="22"/>
      <c r="J28" s="22"/>
      <c r="K28" s="22">
        <f>C28+E28+G28+I28</f>
        <v>665.38</v>
      </c>
      <c r="L28" s="25">
        <v>6.3</v>
      </c>
      <c r="M28" s="25">
        <v>0.93</v>
      </c>
      <c r="N28" s="22">
        <v>0.21</v>
      </c>
      <c r="O28" s="22">
        <v>111.7</v>
      </c>
      <c r="P28" s="25">
        <v>30.27</v>
      </c>
      <c r="Q28" s="23">
        <f>P28/30</f>
        <v>1.0089999999999999</v>
      </c>
      <c r="R28" s="26">
        <v>44.97</v>
      </c>
    </row>
    <row r="29" spans="1:18" ht="18" customHeight="1" x14ac:dyDescent="0.2">
      <c r="A29" s="20">
        <v>903</v>
      </c>
      <c r="B29" s="21" t="s">
        <v>40</v>
      </c>
      <c r="C29" s="22">
        <v>571.37</v>
      </c>
      <c r="D29" s="23">
        <f>C29/30</f>
        <v>19.045666666666666</v>
      </c>
      <c r="E29" s="22">
        <v>60</v>
      </c>
      <c r="F29" s="23">
        <f>E29/30</f>
        <v>2</v>
      </c>
      <c r="G29" s="22"/>
      <c r="H29" s="24"/>
      <c r="I29" s="22"/>
      <c r="J29" s="22"/>
      <c r="K29" s="22">
        <f>C29+E29+G29+I29</f>
        <v>631.37</v>
      </c>
      <c r="L29" s="25">
        <v>6.3</v>
      </c>
      <c r="M29" s="25">
        <v>0.88</v>
      </c>
      <c r="N29" s="22">
        <v>0.21</v>
      </c>
      <c r="O29" s="22">
        <v>111.7</v>
      </c>
      <c r="P29" s="25">
        <v>28.57</v>
      </c>
      <c r="Q29" s="23">
        <f>P29/30</f>
        <v>0.95233333333333337</v>
      </c>
      <c r="R29" s="26">
        <v>44.97</v>
      </c>
    </row>
    <row r="30" spans="1:18" x14ac:dyDescent="0.2">
      <c r="B30" s="32"/>
      <c r="C30" s="33"/>
      <c r="D30" s="34"/>
      <c r="E30" s="33"/>
      <c r="F30" s="34"/>
      <c r="G30" s="33"/>
      <c r="H30" s="34"/>
      <c r="I30" s="33"/>
      <c r="J30" s="33"/>
      <c r="K30" s="33"/>
      <c r="L30" s="35"/>
      <c r="M30" s="35"/>
      <c r="N30" s="33"/>
      <c r="O30" s="33"/>
      <c r="P30" s="28"/>
      <c r="Q30" s="29"/>
      <c r="R30" s="36"/>
    </row>
    <row r="31" spans="1:18" ht="8.25" customHeight="1" x14ac:dyDescent="0.2">
      <c r="L31" s="39"/>
      <c r="M31" s="39"/>
    </row>
    <row r="32" spans="1:18" ht="23.25" customHeight="1" x14ac:dyDescent="0.2">
      <c r="L32" s="39"/>
      <c r="M32" s="39"/>
    </row>
    <row r="33" spans="12:13" ht="15" customHeight="1" x14ac:dyDescent="0.2">
      <c r="L33" s="39"/>
      <c r="M33" s="39"/>
    </row>
    <row r="34" spans="12:13" ht="15" customHeight="1" x14ac:dyDescent="0.2">
      <c r="L34" s="39"/>
      <c r="M34" s="39"/>
    </row>
    <row r="35" spans="12:13" ht="15" customHeight="1" x14ac:dyDescent="0.2">
      <c r="L35" s="39"/>
      <c r="M35" s="39"/>
    </row>
    <row r="36" spans="12:13" ht="15" customHeight="1" x14ac:dyDescent="0.2">
      <c r="L36" s="39"/>
      <c r="M36" s="39"/>
    </row>
    <row r="37" spans="12:13" x14ac:dyDescent="0.2">
      <c r="L37" s="39"/>
      <c r="M37" s="39"/>
    </row>
    <row r="38" spans="12:13" ht="21" customHeight="1" x14ac:dyDescent="0.2"/>
  </sheetData>
  <sheetProtection password="CC0B" sheet="1"/>
  <phoneticPr fontId="0" type="noConversion"/>
  <pageMargins left="1.05" right="0.34" top="0.95" bottom="0.26" header="0.17" footer="0"/>
  <pageSetup paperSize="9" scale="97" orientation="landscape" r:id="rId1"/>
  <headerFooter alignWithMargins="0">
    <oddHeader xml:space="preserve">&amp;C
&amp;"Times New Roman,Negrita"&amp;14&amp;ETABLA SALARIAL CONVENIO SERVICIOS SECURITAS, S.A.  (2007)&amp;10
</oddHeader>
  </headerFooter>
  <colBreaks count="1" manualBreakCount="1">
    <brk id="1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58"/>
  <sheetViews>
    <sheetView zoomScale="110" zoomScaleNormal="110" workbookViewId="0">
      <pane ySplit="3" topLeftCell="A19" activePane="bottomLeft" state="frozen"/>
      <selection pane="bottomLeft" activeCell="D8" sqref="D8"/>
    </sheetView>
  </sheetViews>
  <sheetFormatPr baseColWidth="10" defaultColWidth="10.140625" defaultRowHeight="12.75" x14ac:dyDescent="0.2"/>
  <cols>
    <col min="1" max="1" width="6.42578125" style="136" bestFit="1" customWidth="1"/>
    <col min="2" max="2" width="6.42578125" style="136" customWidth="1"/>
    <col min="3" max="3" width="9.7109375" style="136" bestFit="1" customWidth="1"/>
    <col min="4" max="4" width="42.28515625" style="73" bestFit="1" customWidth="1"/>
    <col min="5" max="5" width="11" style="73" bestFit="1" customWidth="1"/>
    <col min="6" max="6" width="10.7109375" style="73" hidden="1" customWidth="1"/>
    <col min="7" max="7" width="12.140625" style="73" bestFit="1" customWidth="1"/>
    <col min="8" max="8" width="9.85546875" style="73" hidden="1" customWidth="1"/>
    <col min="9" max="9" width="10.85546875" style="73" bestFit="1" customWidth="1"/>
    <col min="10" max="10" width="10.7109375" style="73" hidden="1" customWidth="1"/>
    <col min="11" max="11" width="11" style="73" bestFit="1" customWidth="1"/>
    <col min="12" max="12" width="10.7109375" style="73" hidden="1" customWidth="1"/>
    <col min="13" max="13" width="12.7109375" style="73" bestFit="1" customWidth="1"/>
    <col min="14" max="14" width="9" style="73" customWidth="1"/>
    <col min="15" max="15" width="7.85546875" style="73" bestFit="1" customWidth="1"/>
    <col min="16" max="16" width="7.85546875" style="73" customWidth="1"/>
    <col min="17" max="17" width="8.85546875" style="73" bestFit="1" customWidth="1"/>
    <col min="18" max="18" width="6.85546875" style="73" bestFit="1" customWidth="1"/>
    <col min="19" max="19" width="10.5703125" style="73" customWidth="1"/>
    <col min="20" max="20" width="7.85546875" style="73" bestFit="1" customWidth="1"/>
    <col min="21" max="21" width="8" style="73" bestFit="1" customWidth="1"/>
    <col min="22" max="22" width="9" style="73" customWidth="1"/>
    <col min="23" max="23" width="8.140625" style="73" customWidth="1"/>
    <col min="24" max="24" width="9" style="73" customWidth="1"/>
    <col min="25" max="16384" width="10.140625" style="73"/>
  </cols>
  <sheetData>
    <row r="1" spans="1:14" ht="36" customHeight="1" x14ac:dyDescent="0.2">
      <c r="A1" s="135" t="s">
        <v>109</v>
      </c>
    </row>
    <row r="3" spans="1:14" s="137" customFormat="1" ht="39.75" customHeight="1" x14ac:dyDescent="0.2">
      <c r="A3" s="130" t="s">
        <v>69</v>
      </c>
      <c r="B3" s="130" t="s">
        <v>70</v>
      </c>
      <c r="C3" s="130" t="s">
        <v>0</v>
      </c>
      <c r="D3" s="131" t="s">
        <v>1</v>
      </c>
      <c r="E3" s="132" t="s">
        <v>2</v>
      </c>
      <c r="F3" s="74">
        <v>110021</v>
      </c>
      <c r="G3" s="132" t="s">
        <v>3</v>
      </c>
      <c r="H3" s="75">
        <v>15220</v>
      </c>
      <c r="I3" s="132" t="s">
        <v>4</v>
      </c>
      <c r="J3" s="75">
        <v>116220</v>
      </c>
      <c r="K3" s="132" t="s">
        <v>5</v>
      </c>
      <c r="L3" s="74">
        <v>117520</v>
      </c>
      <c r="M3" s="131" t="s">
        <v>62</v>
      </c>
      <c r="N3" s="132" t="s">
        <v>63</v>
      </c>
    </row>
    <row r="4" spans="1:14" ht="18" customHeight="1" x14ac:dyDescent="0.2">
      <c r="A4" s="76"/>
      <c r="B4" s="76"/>
      <c r="C4" s="76"/>
      <c r="D4" s="123" t="s">
        <v>13</v>
      </c>
      <c r="E4" s="77"/>
      <c r="F4" s="78"/>
      <c r="G4" s="77"/>
      <c r="H4" s="78"/>
      <c r="I4" s="77"/>
      <c r="J4" s="78"/>
      <c r="K4" s="77"/>
      <c r="L4" s="77"/>
      <c r="M4" s="77"/>
      <c r="N4" s="77"/>
    </row>
    <row r="5" spans="1:14" ht="17.100000000000001" customHeight="1" x14ac:dyDescent="0.2">
      <c r="A5" s="80">
        <v>1</v>
      </c>
      <c r="B5" s="80" t="s">
        <v>71</v>
      </c>
      <c r="C5" s="107">
        <v>2102</v>
      </c>
      <c r="D5" s="97" t="s">
        <v>14</v>
      </c>
      <c r="E5" s="110">
        <v>1559.8</v>
      </c>
      <c r="F5" s="143">
        <f t="shared" ref="F5:F19" si="0">E5/30</f>
        <v>51.993333333333332</v>
      </c>
      <c r="G5" s="110">
        <v>69.38</v>
      </c>
      <c r="H5" s="145">
        <f t="shared" ref="H5:H25" si="1">G5/30</f>
        <v>2.3126666666666664</v>
      </c>
      <c r="I5" s="113"/>
      <c r="J5" s="114"/>
      <c r="K5" s="113"/>
      <c r="L5" s="113"/>
      <c r="M5" s="115">
        <f t="shared" ref="M5:M12" si="2">+K5+I5+G5+E5</f>
        <v>1629.1799999999998</v>
      </c>
      <c r="N5" s="113">
        <f t="shared" ref="N5:N12" si="3">((E5+K5)*14)+((G5+I5)*12)</f>
        <v>22669.760000000002</v>
      </c>
    </row>
    <row r="6" spans="1:14" ht="17.100000000000001" customHeight="1" x14ac:dyDescent="0.2">
      <c r="A6" s="80">
        <v>1</v>
      </c>
      <c r="B6" s="80" t="s">
        <v>71</v>
      </c>
      <c r="C6" s="107">
        <v>2105</v>
      </c>
      <c r="D6" s="97" t="s">
        <v>15</v>
      </c>
      <c r="E6" s="110">
        <v>1483.11</v>
      </c>
      <c r="F6" s="143">
        <f t="shared" si="0"/>
        <v>49.436999999999998</v>
      </c>
      <c r="G6" s="110">
        <v>69.38</v>
      </c>
      <c r="H6" s="145">
        <f t="shared" si="1"/>
        <v>2.3126666666666664</v>
      </c>
      <c r="I6" s="113"/>
      <c r="J6" s="114"/>
      <c r="K6" s="113"/>
      <c r="L6" s="113"/>
      <c r="M6" s="115">
        <f t="shared" si="2"/>
        <v>1552.4899999999998</v>
      </c>
      <c r="N6" s="113">
        <f t="shared" si="3"/>
        <v>21596.1</v>
      </c>
    </row>
    <row r="7" spans="1:14" ht="17.100000000000001" customHeight="1" x14ac:dyDescent="0.2">
      <c r="A7" s="80">
        <v>1</v>
      </c>
      <c r="B7" s="80" t="s">
        <v>71</v>
      </c>
      <c r="C7" s="107">
        <v>2109</v>
      </c>
      <c r="D7" s="97" t="s">
        <v>16</v>
      </c>
      <c r="E7" s="110">
        <v>1483.11</v>
      </c>
      <c r="F7" s="143">
        <f t="shared" si="0"/>
        <v>49.436999999999998</v>
      </c>
      <c r="G7" s="110">
        <v>69.38</v>
      </c>
      <c r="H7" s="145">
        <f t="shared" si="1"/>
        <v>2.3126666666666664</v>
      </c>
      <c r="I7" s="113"/>
      <c r="J7" s="114"/>
      <c r="K7" s="113"/>
      <c r="L7" s="113"/>
      <c r="M7" s="115">
        <f t="shared" si="2"/>
        <v>1552.4899999999998</v>
      </c>
      <c r="N7" s="113">
        <f t="shared" si="3"/>
        <v>21596.1</v>
      </c>
    </row>
    <row r="8" spans="1:14" ht="17.100000000000001" customHeight="1" x14ac:dyDescent="0.2">
      <c r="A8" s="80">
        <v>1</v>
      </c>
      <c r="B8" s="80" t="s">
        <v>71</v>
      </c>
      <c r="C8" s="107">
        <v>2103</v>
      </c>
      <c r="D8" s="97" t="s">
        <v>46</v>
      </c>
      <c r="E8" s="110">
        <v>1483.11</v>
      </c>
      <c r="F8" s="143">
        <f t="shared" si="0"/>
        <v>49.436999999999998</v>
      </c>
      <c r="G8" s="110">
        <v>69.38</v>
      </c>
      <c r="H8" s="145">
        <f t="shared" si="1"/>
        <v>2.3126666666666664</v>
      </c>
      <c r="I8" s="113"/>
      <c r="J8" s="114"/>
      <c r="K8" s="113"/>
      <c r="L8" s="113"/>
      <c r="M8" s="115">
        <f t="shared" si="2"/>
        <v>1552.4899999999998</v>
      </c>
      <c r="N8" s="113">
        <f t="shared" si="3"/>
        <v>21596.1</v>
      </c>
    </row>
    <row r="9" spans="1:14" ht="17.100000000000001" customHeight="1" x14ac:dyDescent="0.2">
      <c r="A9" s="80">
        <v>3</v>
      </c>
      <c r="B9" s="80" t="s">
        <v>71</v>
      </c>
      <c r="C9" s="107">
        <v>2122</v>
      </c>
      <c r="D9" s="97" t="s">
        <v>17</v>
      </c>
      <c r="E9" s="110">
        <v>1410.41</v>
      </c>
      <c r="F9" s="143">
        <f t="shared" si="0"/>
        <v>47.013666666666673</v>
      </c>
      <c r="G9" s="110">
        <v>69.38</v>
      </c>
      <c r="H9" s="145">
        <f t="shared" si="1"/>
        <v>2.3126666666666664</v>
      </c>
      <c r="I9" s="113"/>
      <c r="J9" s="114"/>
      <c r="K9" s="113"/>
      <c r="L9" s="113"/>
      <c r="M9" s="115">
        <f t="shared" si="2"/>
        <v>1479.79</v>
      </c>
      <c r="N9" s="113">
        <f t="shared" si="3"/>
        <v>20578.300000000003</v>
      </c>
    </row>
    <row r="10" spans="1:14" ht="17.100000000000001" customHeight="1" x14ac:dyDescent="0.2">
      <c r="A10" s="80">
        <v>1</v>
      </c>
      <c r="B10" s="80" t="s">
        <v>71</v>
      </c>
      <c r="C10" s="107">
        <v>2126</v>
      </c>
      <c r="D10" s="97" t="s">
        <v>47</v>
      </c>
      <c r="E10" s="110">
        <v>1410.41</v>
      </c>
      <c r="F10" s="143">
        <f t="shared" si="0"/>
        <v>47.013666666666673</v>
      </c>
      <c r="G10" s="110">
        <v>69.38</v>
      </c>
      <c r="H10" s="145">
        <f t="shared" si="1"/>
        <v>2.3126666666666664</v>
      </c>
      <c r="I10" s="113"/>
      <c r="J10" s="114"/>
      <c r="K10" s="113"/>
      <c r="L10" s="113"/>
      <c r="M10" s="115">
        <f t="shared" si="2"/>
        <v>1479.79</v>
      </c>
      <c r="N10" s="113">
        <f t="shared" si="3"/>
        <v>20578.300000000003</v>
      </c>
    </row>
    <row r="11" spans="1:14" ht="17.100000000000001" customHeight="1" x14ac:dyDescent="0.2">
      <c r="A11" s="80">
        <v>1</v>
      </c>
      <c r="B11" s="80" t="s">
        <v>71</v>
      </c>
      <c r="C11" s="107">
        <v>2113</v>
      </c>
      <c r="D11" s="97" t="s">
        <v>18</v>
      </c>
      <c r="E11" s="110">
        <v>1410.41</v>
      </c>
      <c r="F11" s="143">
        <f t="shared" si="0"/>
        <v>47.013666666666673</v>
      </c>
      <c r="G11" s="110">
        <v>69.38</v>
      </c>
      <c r="H11" s="145">
        <f t="shared" si="1"/>
        <v>2.3126666666666664</v>
      </c>
      <c r="I11" s="113"/>
      <c r="J11" s="114"/>
      <c r="K11" s="113"/>
      <c r="L11" s="113"/>
      <c r="M11" s="115">
        <f t="shared" si="2"/>
        <v>1479.79</v>
      </c>
      <c r="N11" s="113">
        <f t="shared" si="3"/>
        <v>20578.300000000003</v>
      </c>
    </row>
    <row r="12" spans="1:14" ht="17.100000000000001" customHeight="1" x14ac:dyDescent="0.2">
      <c r="A12" s="80">
        <v>2</v>
      </c>
      <c r="B12" s="80" t="s">
        <v>71</v>
      </c>
      <c r="C12" s="107">
        <v>2114</v>
      </c>
      <c r="D12" s="97" t="s">
        <v>19</v>
      </c>
      <c r="E12" s="110">
        <v>1341.37</v>
      </c>
      <c r="F12" s="143">
        <f t="shared" si="0"/>
        <v>44.712333333333326</v>
      </c>
      <c r="G12" s="110">
        <v>69.38</v>
      </c>
      <c r="H12" s="145">
        <f t="shared" si="1"/>
        <v>2.3126666666666664</v>
      </c>
      <c r="I12" s="113"/>
      <c r="J12" s="114"/>
      <c r="K12" s="113"/>
      <c r="L12" s="113"/>
      <c r="M12" s="115">
        <f t="shared" si="2"/>
        <v>1410.75</v>
      </c>
      <c r="N12" s="113">
        <f t="shared" si="3"/>
        <v>19611.740000000002</v>
      </c>
    </row>
    <row r="13" spans="1:14" ht="18" customHeight="1" x14ac:dyDescent="0.2">
      <c r="A13" s="81"/>
      <c r="B13" s="81"/>
      <c r="C13" s="108"/>
      <c r="D13" s="124" t="s">
        <v>20</v>
      </c>
      <c r="E13" s="116"/>
      <c r="F13" s="117"/>
      <c r="G13" s="116"/>
      <c r="H13" s="146"/>
      <c r="I13" s="118"/>
      <c r="J13" s="119"/>
      <c r="K13" s="118"/>
      <c r="L13" s="118"/>
      <c r="M13" s="118"/>
      <c r="N13" s="116"/>
    </row>
    <row r="14" spans="1:14" ht="17.100000000000001" customHeight="1" x14ac:dyDescent="0.2">
      <c r="A14" s="80">
        <v>3</v>
      </c>
      <c r="B14" s="80" t="s">
        <v>71</v>
      </c>
      <c r="C14" s="107">
        <v>2201</v>
      </c>
      <c r="D14" s="97" t="s">
        <v>21</v>
      </c>
      <c r="E14" s="110">
        <v>1348.36</v>
      </c>
      <c r="F14" s="143">
        <f t="shared" si="0"/>
        <v>44.94533333333333</v>
      </c>
      <c r="G14" s="110">
        <v>69.38</v>
      </c>
      <c r="H14" s="145">
        <f t="shared" si="1"/>
        <v>2.3126666666666664</v>
      </c>
      <c r="I14" s="113"/>
      <c r="J14" s="114"/>
      <c r="K14" s="113"/>
      <c r="L14" s="113"/>
      <c r="M14" s="115">
        <f t="shared" ref="M14:M18" si="4">+K14+I14+G14+E14</f>
        <v>1417.7399999999998</v>
      </c>
      <c r="N14" s="113">
        <f t="shared" ref="N14:N19" si="5">((E14+K14)*14)+((G14+I14)*12)</f>
        <v>19709.599999999999</v>
      </c>
    </row>
    <row r="15" spans="1:14" ht="17.100000000000001" customHeight="1" x14ac:dyDescent="0.2">
      <c r="A15" s="80">
        <v>3</v>
      </c>
      <c r="B15" s="80" t="s">
        <v>71</v>
      </c>
      <c r="C15" s="107">
        <v>2202</v>
      </c>
      <c r="D15" s="97" t="s">
        <v>22</v>
      </c>
      <c r="E15" s="110">
        <v>1208.0899999999999</v>
      </c>
      <c r="F15" s="143">
        <f t="shared" si="0"/>
        <v>40.269666666666666</v>
      </c>
      <c r="G15" s="110">
        <v>69.38</v>
      </c>
      <c r="H15" s="145">
        <f t="shared" si="1"/>
        <v>2.3126666666666664</v>
      </c>
      <c r="I15" s="113"/>
      <c r="J15" s="114"/>
      <c r="K15" s="113"/>
      <c r="L15" s="113"/>
      <c r="M15" s="115">
        <f t="shared" si="4"/>
        <v>1277.4699999999998</v>
      </c>
      <c r="N15" s="113">
        <f t="shared" si="5"/>
        <v>17745.82</v>
      </c>
    </row>
    <row r="16" spans="1:14" ht="17.100000000000001" customHeight="1" x14ac:dyDescent="0.2">
      <c r="A16" s="80">
        <v>5</v>
      </c>
      <c r="B16" s="80" t="s">
        <v>71</v>
      </c>
      <c r="C16" s="107">
        <v>2203</v>
      </c>
      <c r="D16" s="97" t="s">
        <v>23</v>
      </c>
      <c r="E16" s="110">
        <v>995.93</v>
      </c>
      <c r="F16" s="143">
        <f t="shared" si="0"/>
        <v>33.197666666666663</v>
      </c>
      <c r="G16" s="110">
        <v>69.38</v>
      </c>
      <c r="H16" s="145">
        <f t="shared" si="1"/>
        <v>2.3126666666666664</v>
      </c>
      <c r="I16" s="113"/>
      <c r="J16" s="114"/>
      <c r="K16" s="113"/>
      <c r="L16" s="113"/>
      <c r="M16" s="115">
        <f t="shared" si="4"/>
        <v>1065.31</v>
      </c>
      <c r="N16" s="113">
        <f t="shared" si="5"/>
        <v>14775.579999999998</v>
      </c>
    </row>
    <row r="17" spans="1:15" ht="17.100000000000001" customHeight="1" x14ac:dyDescent="0.2">
      <c r="A17" s="80">
        <v>5</v>
      </c>
      <c r="B17" s="80" t="s">
        <v>71</v>
      </c>
      <c r="C17" s="107">
        <v>2204</v>
      </c>
      <c r="D17" s="97" t="s">
        <v>24</v>
      </c>
      <c r="E17" s="110">
        <v>915.62</v>
      </c>
      <c r="F17" s="143">
        <f t="shared" si="0"/>
        <v>30.520666666666667</v>
      </c>
      <c r="G17" s="110">
        <v>69.38</v>
      </c>
      <c r="H17" s="145">
        <f t="shared" si="1"/>
        <v>2.3126666666666664</v>
      </c>
      <c r="I17" s="113"/>
      <c r="J17" s="114"/>
      <c r="K17" s="113"/>
      <c r="L17" s="113"/>
      <c r="M17" s="115">
        <f t="shared" si="4"/>
        <v>985</v>
      </c>
      <c r="N17" s="113">
        <f t="shared" si="5"/>
        <v>13651.24</v>
      </c>
    </row>
    <row r="18" spans="1:15" ht="17.100000000000001" customHeight="1" x14ac:dyDescent="0.2">
      <c r="A18" s="80">
        <v>7</v>
      </c>
      <c r="B18" s="80" t="s">
        <v>71</v>
      </c>
      <c r="C18" s="107">
        <v>2206</v>
      </c>
      <c r="D18" s="97" t="s">
        <v>25</v>
      </c>
      <c r="E18" s="110">
        <v>750</v>
      </c>
      <c r="F18" s="143">
        <f t="shared" si="0"/>
        <v>25</v>
      </c>
      <c r="G18" s="110">
        <v>36.47</v>
      </c>
      <c r="H18" s="145">
        <f t="shared" si="1"/>
        <v>1.2156666666666667</v>
      </c>
      <c r="I18" s="113"/>
      <c r="J18" s="114"/>
      <c r="K18" s="113"/>
      <c r="L18" s="113"/>
      <c r="M18" s="115">
        <f t="shared" si="4"/>
        <v>786.47</v>
      </c>
      <c r="N18" s="113">
        <f t="shared" si="5"/>
        <v>10937.64</v>
      </c>
    </row>
    <row r="19" spans="1:15" ht="17.100000000000001" customHeight="1" x14ac:dyDescent="0.2">
      <c r="A19" s="80">
        <v>7</v>
      </c>
      <c r="B19" s="80" t="s">
        <v>72</v>
      </c>
      <c r="C19" s="107"/>
      <c r="D19" s="97" t="s">
        <v>60</v>
      </c>
      <c r="E19" s="110">
        <v>750</v>
      </c>
      <c r="F19" s="143">
        <f t="shared" si="0"/>
        <v>25</v>
      </c>
      <c r="G19" s="110">
        <v>36.47</v>
      </c>
      <c r="H19" s="145">
        <f t="shared" si="1"/>
        <v>1.2156666666666667</v>
      </c>
      <c r="I19" s="113"/>
      <c r="J19" s="114"/>
      <c r="K19" s="113"/>
      <c r="L19" s="113"/>
      <c r="M19" s="115">
        <f>+K19+I19+G19+E19</f>
        <v>786.47</v>
      </c>
      <c r="N19" s="113">
        <f t="shared" si="5"/>
        <v>10937.64</v>
      </c>
    </row>
    <row r="20" spans="1:15" ht="18" customHeight="1" x14ac:dyDescent="0.2">
      <c r="A20" s="81"/>
      <c r="B20" s="81"/>
      <c r="C20" s="108"/>
      <c r="D20" s="124" t="s">
        <v>28</v>
      </c>
      <c r="E20" s="116"/>
      <c r="F20" s="117"/>
      <c r="G20" s="116"/>
      <c r="H20" s="146"/>
      <c r="I20" s="116"/>
      <c r="J20" s="117"/>
      <c r="K20" s="116"/>
      <c r="L20" s="116"/>
      <c r="M20" s="118"/>
      <c r="N20" s="116"/>
    </row>
    <row r="21" spans="1:15" ht="17.100000000000001" customHeight="1" x14ac:dyDescent="0.2">
      <c r="A21" s="80">
        <v>3</v>
      </c>
      <c r="B21" s="80" t="s">
        <v>72</v>
      </c>
      <c r="C21" s="107">
        <v>2504</v>
      </c>
      <c r="D21" s="97" t="s">
        <v>29</v>
      </c>
      <c r="E21" s="113">
        <v>1341.37</v>
      </c>
      <c r="F21" s="143">
        <f t="shared" ref="F21:F25" si="6">E21/30</f>
        <v>44.712333333333326</v>
      </c>
      <c r="G21" s="113">
        <v>69.38</v>
      </c>
      <c r="H21" s="145">
        <f t="shared" si="1"/>
        <v>2.3126666666666664</v>
      </c>
      <c r="I21" s="113"/>
      <c r="J21" s="114"/>
      <c r="K21" s="113"/>
      <c r="L21" s="113"/>
      <c r="M21" s="115">
        <f>+K21+I21+G21+E21</f>
        <v>1410.75</v>
      </c>
      <c r="N21" s="113">
        <f>((E21+K21)*14)+((G21+I21)*12)</f>
        <v>19611.740000000002</v>
      </c>
    </row>
    <row r="22" spans="1:15" ht="17.100000000000001" customHeight="1" x14ac:dyDescent="0.2">
      <c r="A22" s="80">
        <v>5</v>
      </c>
      <c r="B22" s="80" t="s">
        <v>72</v>
      </c>
      <c r="C22" s="107">
        <v>2227</v>
      </c>
      <c r="D22" s="97" t="s">
        <v>30</v>
      </c>
      <c r="E22" s="113">
        <v>995.93</v>
      </c>
      <c r="F22" s="143">
        <f t="shared" si="6"/>
        <v>33.197666666666663</v>
      </c>
      <c r="G22" s="113">
        <v>69.38</v>
      </c>
      <c r="H22" s="145">
        <f t="shared" si="1"/>
        <v>2.3126666666666664</v>
      </c>
      <c r="I22" s="113"/>
      <c r="J22" s="114"/>
      <c r="K22" s="113"/>
      <c r="L22" s="113"/>
      <c r="M22" s="115">
        <f>+K22+I22+G22+E22</f>
        <v>1065.31</v>
      </c>
      <c r="N22" s="113">
        <f>((E22+K22)*14)+((G22+I22)*12)</f>
        <v>14775.579999999998</v>
      </c>
    </row>
    <row r="23" spans="1:15" ht="18" customHeight="1" x14ac:dyDescent="0.2">
      <c r="A23" s="81"/>
      <c r="B23" s="81"/>
      <c r="C23" s="108"/>
      <c r="D23" s="124" t="s">
        <v>94</v>
      </c>
      <c r="E23" s="116"/>
      <c r="F23" s="117"/>
      <c r="G23" s="116"/>
      <c r="H23" s="146"/>
      <c r="I23" s="116"/>
      <c r="J23" s="117"/>
      <c r="K23" s="116"/>
      <c r="L23" s="116"/>
      <c r="M23" s="118"/>
      <c r="N23" s="116"/>
    </row>
    <row r="24" spans="1:15" ht="17.100000000000001" customHeight="1" x14ac:dyDescent="0.2">
      <c r="A24" s="80">
        <v>3</v>
      </c>
      <c r="B24" s="80" t="s">
        <v>72</v>
      </c>
      <c r="C24" s="107">
        <v>2120</v>
      </c>
      <c r="D24" s="97" t="s">
        <v>48</v>
      </c>
      <c r="E24" s="110">
        <v>1348.36</v>
      </c>
      <c r="F24" s="143">
        <f t="shared" si="6"/>
        <v>44.94533333333333</v>
      </c>
      <c r="G24" s="110">
        <v>69.38</v>
      </c>
      <c r="H24" s="145">
        <f t="shared" si="1"/>
        <v>2.3126666666666664</v>
      </c>
      <c r="I24" s="113"/>
      <c r="J24" s="114"/>
      <c r="K24" s="113"/>
      <c r="L24" s="113"/>
      <c r="M24" s="115">
        <f t="shared" ref="M24:M25" si="7">+K24+I24+G24+E24</f>
        <v>1417.7399999999998</v>
      </c>
      <c r="N24" s="113">
        <f>((E24+K24)*14)+((G24+I24)*12)</f>
        <v>19709.599999999999</v>
      </c>
    </row>
    <row r="25" spans="1:15" ht="17.100000000000001" customHeight="1" x14ac:dyDescent="0.2">
      <c r="A25" s="80">
        <v>5</v>
      </c>
      <c r="B25" s="80" t="s">
        <v>72</v>
      </c>
      <c r="C25" s="107">
        <v>2207</v>
      </c>
      <c r="D25" s="97" t="s">
        <v>49</v>
      </c>
      <c r="E25" s="110">
        <v>1004.23</v>
      </c>
      <c r="F25" s="143">
        <f t="shared" si="6"/>
        <v>33.474333333333334</v>
      </c>
      <c r="G25" s="110">
        <v>69.38</v>
      </c>
      <c r="H25" s="145">
        <f t="shared" si="1"/>
        <v>2.3126666666666664</v>
      </c>
      <c r="I25" s="113"/>
      <c r="J25" s="114"/>
      <c r="K25" s="113"/>
      <c r="L25" s="113"/>
      <c r="M25" s="115">
        <f t="shared" si="7"/>
        <v>1073.6100000000001</v>
      </c>
      <c r="N25" s="113">
        <f>((E25+K25)*14)+((G25+I25)*12)</f>
        <v>14891.78</v>
      </c>
    </row>
    <row r="26" spans="1:15" ht="18" customHeight="1" x14ac:dyDescent="0.2">
      <c r="A26" s="81"/>
      <c r="B26" s="81"/>
      <c r="C26" s="108"/>
      <c r="D26" s="124" t="s">
        <v>31</v>
      </c>
      <c r="E26" s="116"/>
      <c r="F26" s="117"/>
      <c r="G26" s="116"/>
      <c r="H26" s="146"/>
      <c r="I26" s="116"/>
      <c r="J26" s="117"/>
      <c r="K26" s="116"/>
      <c r="L26" s="116"/>
      <c r="M26" s="118"/>
      <c r="N26" s="116"/>
    </row>
    <row r="27" spans="1:15" ht="17.100000000000001" hidden="1" customHeight="1" x14ac:dyDescent="0.2">
      <c r="A27" s="82">
        <v>6</v>
      </c>
      <c r="B27" s="82" t="s">
        <v>73</v>
      </c>
      <c r="C27" s="109">
        <v>2057</v>
      </c>
      <c r="D27" s="87" t="s">
        <v>91</v>
      </c>
      <c r="E27" s="110">
        <v>707.7</v>
      </c>
      <c r="F27" s="120">
        <f t="shared" ref="F27:F33" si="8">E27/30</f>
        <v>23.59</v>
      </c>
      <c r="G27" s="110">
        <v>89.76</v>
      </c>
      <c r="H27" s="144">
        <f t="shared" ref="H27:H33" si="9">G27/30</f>
        <v>2.992</v>
      </c>
      <c r="I27" s="110">
        <v>34.32</v>
      </c>
      <c r="J27" s="120">
        <f t="shared" ref="J27:J34" si="10">I27/30</f>
        <v>1.1439999999999999</v>
      </c>
      <c r="K27" s="110"/>
      <c r="L27" s="110"/>
      <c r="M27" s="121">
        <f t="shared" ref="M27:M43" si="11">+K27+I27+G27+E27</f>
        <v>831.78000000000009</v>
      </c>
      <c r="N27" s="110">
        <f t="shared" ref="N27:N43" si="12">((E27+K27)*14)+((G27+I27)*12)</f>
        <v>11396.760000000002</v>
      </c>
    </row>
    <row r="28" spans="1:15" ht="17.100000000000001" customHeight="1" x14ac:dyDescent="0.2">
      <c r="A28" s="80">
        <v>6</v>
      </c>
      <c r="B28" s="80" t="s">
        <v>73</v>
      </c>
      <c r="C28" s="107">
        <v>2047</v>
      </c>
      <c r="D28" s="87" t="s">
        <v>66</v>
      </c>
      <c r="E28" s="110">
        <v>750</v>
      </c>
      <c r="F28" s="143">
        <f t="shared" si="8"/>
        <v>25</v>
      </c>
      <c r="G28" s="110">
        <v>31.65</v>
      </c>
      <c r="H28" s="145">
        <f t="shared" si="9"/>
        <v>1.0549999999999999</v>
      </c>
      <c r="I28" s="113">
        <v>20.5</v>
      </c>
      <c r="J28" s="143">
        <f t="shared" si="10"/>
        <v>0.68333333333333335</v>
      </c>
      <c r="K28" s="113"/>
      <c r="L28" s="113"/>
      <c r="M28" s="115">
        <f t="shared" si="11"/>
        <v>802.15</v>
      </c>
      <c r="N28" s="113">
        <f t="shared" si="12"/>
        <v>11125.8</v>
      </c>
    </row>
    <row r="29" spans="1:15" ht="17.100000000000001" customHeight="1" x14ac:dyDescent="0.2">
      <c r="A29" s="80">
        <v>6</v>
      </c>
      <c r="B29" s="80" t="s">
        <v>72</v>
      </c>
      <c r="C29" s="107">
        <v>2042</v>
      </c>
      <c r="D29" s="87" t="s">
        <v>65</v>
      </c>
      <c r="E29" s="110">
        <v>750</v>
      </c>
      <c r="F29" s="143">
        <f t="shared" ref="F29" si="13">E29/30</f>
        <v>25</v>
      </c>
      <c r="G29" s="110">
        <v>31.65</v>
      </c>
      <c r="H29" s="145">
        <f t="shared" ref="H29" si="14">G29/30</f>
        <v>1.0549999999999999</v>
      </c>
      <c r="I29" s="113">
        <v>20.5</v>
      </c>
      <c r="J29" s="143">
        <f t="shared" si="10"/>
        <v>0.68333333333333335</v>
      </c>
      <c r="K29" s="113"/>
      <c r="L29" s="113"/>
      <c r="M29" s="115">
        <f t="shared" si="11"/>
        <v>802.15</v>
      </c>
      <c r="N29" s="113">
        <f t="shared" si="12"/>
        <v>11125.8</v>
      </c>
    </row>
    <row r="30" spans="1:15" ht="17.100000000000001" customHeight="1" x14ac:dyDescent="0.2">
      <c r="A30" s="80">
        <v>6</v>
      </c>
      <c r="B30" s="80" t="s">
        <v>72</v>
      </c>
      <c r="C30" s="107">
        <v>2205</v>
      </c>
      <c r="D30" s="87" t="s">
        <v>33</v>
      </c>
      <c r="E30" s="110">
        <v>750</v>
      </c>
      <c r="F30" s="143">
        <f t="shared" si="8"/>
        <v>25</v>
      </c>
      <c r="G30" s="110">
        <v>31.65</v>
      </c>
      <c r="H30" s="145">
        <f t="shared" si="9"/>
        <v>1.0549999999999999</v>
      </c>
      <c r="I30" s="113">
        <v>20.5</v>
      </c>
      <c r="J30" s="143">
        <f t="shared" si="10"/>
        <v>0.68333333333333335</v>
      </c>
      <c r="K30" s="113"/>
      <c r="L30" s="113"/>
      <c r="M30" s="115">
        <f t="shared" si="11"/>
        <v>802.15</v>
      </c>
      <c r="N30" s="113">
        <f t="shared" si="12"/>
        <v>11125.8</v>
      </c>
    </row>
    <row r="31" spans="1:15" ht="17.100000000000001" customHeight="1" x14ac:dyDescent="0.2">
      <c r="A31" s="80">
        <v>6</v>
      </c>
      <c r="B31" s="80" t="s">
        <v>73</v>
      </c>
      <c r="C31" s="107">
        <v>2046</v>
      </c>
      <c r="D31" s="97" t="s">
        <v>37</v>
      </c>
      <c r="E31" s="110">
        <v>750</v>
      </c>
      <c r="F31" s="143">
        <f t="shared" si="8"/>
        <v>25</v>
      </c>
      <c r="G31" s="110">
        <v>42</v>
      </c>
      <c r="H31" s="145">
        <f t="shared" si="9"/>
        <v>1.4</v>
      </c>
      <c r="I31" s="113">
        <v>22</v>
      </c>
      <c r="J31" s="143">
        <f t="shared" si="10"/>
        <v>0.73333333333333328</v>
      </c>
      <c r="K31" s="113">
        <v>78.72</v>
      </c>
      <c r="L31" s="143">
        <f>K31/30</f>
        <v>2.6240000000000001</v>
      </c>
      <c r="M31" s="115">
        <f t="shared" si="11"/>
        <v>892.72</v>
      </c>
      <c r="N31" s="113">
        <f t="shared" si="12"/>
        <v>12370.08</v>
      </c>
      <c r="O31" s="163">
        <f>+(N31/N30)-1</f>
        <v>0.11183735102194903</v>
      </c>
    </row>
    <row r="32" spans="1:15" ht="17.100000000000001" customHeight="1" x14ac:dyDescent="0.2">
      <c r="A32" s="80">
        <v>6</v>
      </c>
      <c r="B32" s="80" t="s">
        <v>72</v>
      </c>
      <c r="C32" s="107">
        <v>2048</v>
      </c>
      <c r="D32" s="87" t="s">
        <v>106</v>
      </c>
      <c r="E32" s="110">
        <v>750</v>
      </c>
      <c r="F32" s="143">
        <f t="shared" si="8"/>
        <v>25</v>
      </c>
      <c r="G32" s="110">
        <v>31.65</v>
      </c>
      <c r="H32" s="145">
        <f t="shared" si="9"/>
        <v>1.0549999999999999</v>
      </c>
      <c r="I32" s="113">
        <v>20.5</v>
      </c>
      <c r="J32" s="143">
        <f t="shared" si="10"/>
        <v>0.68333333333333335</v>
      </c>
      <c r="K32" s="113"/>
      <c r="L32" s="113"/>
      <c r="M32" s="115">
        <f t="shared" si="11"/>
        <v>802.15</v>
      </c>
      <c r="N32" s="113">
        <f t="shared" si="12"/>
        <v>11125.8</v>
      </c>
    </row>
    <row r="33" spans="1:14" s="138" customFormat="1" ht="17.100000000000001" customHeight="1" x14ac:dyDescent="0.2">
      <c r="A33" s="80">
        <v>6</v>
      </c>
      <c r="B33" s="80" t="s">
        <v>72</v>
      </c>
      <c r="C33" s="107">
        <v>2044</v>
      </c>
      <c r="D33" s="87" t="s">
        <v>76</v>
      </c>
      <c r="E33" s="110">
        <v>750</v>
      </c>
      <c r="F33" s="143">
        <f t="shared" si="8"/>
        <v>25</v>
      </c>
      <c r="G33" s="110">
        <v>31.65</v>
      </c>
      <c r="H33" s="145">
        <f t="shared" si="9"/>
        <v>1.0549999999999999</v>
      </c>
      <c r="I33" s="113">
        <v>20.5</v>
      </c>
      <c r="J33" s="143">
        <f t="shared" si="10"/>
        <v>0.68333333333333335</v>
      </c>
      <c r="K33" s="113"/>
      <c r="L33" s="113"/>
      <c r="M33" s="115">
        <f t="shared" si="11"/>
        <v>802.15</v>
      </c>
      <c r="N33" s="113">
        <f t="shared" si="12"/>
        <v>11125.8</v>
      </c>
    </row>
    <row r="34" spans="1:14" ht="17.100000000000001" hidden="1" customHeight="1" x14ac:dyDescent="0.2">
      <c r="A34" s="82">
        <v>3</v>
      </c>
      <c r="B34" s="82" t="s">
        <v>72</v>
      </c>
      <c r="C34" s="109">
        <v>2510</v>
      </c>
      <c r="D34" s="87" t="s">
        <v>93</v>
      </c>
      <c r="E34" s="110">
        <v>1085.28</v>
      </c>
      <c r="F34" s="120"/>
      <c r="G34" s="110">
        <v>0</v>
      </c>
      <c r="H34" s="144"/>
      <c r="I34" s="110">
        <v>0</v>
      </c>
      <c r="J34" s="144">
        <f t="shared" si="10"/>
        <v>0</v>
      </c>
      <c r="K34" s="110"/>
      <c r="L34" s="110"/>
      <c r="M34" s="121">
        <f t="shared" si="11"/>
        <v>1085.28</v>
      </c>
      <c r="N34" s="110">
        <f t="shared" si="12"/>
        <v>15193.92</v>
      </c>
    </row>
    <row r="35" spans="1:14" ht="17.100000000000001" customHeight="1" x14ac:dyDescent="0.2">
      <c r="A35" s="82">
        <v>6</v>
      </c>
      <c r="B35" s="82" t="s">
        <v>72</v>
      </c>
      <c r="C35" s="109">
        <v>2500</v>
      </c>
      <c r="D35" s="87" t="s">
        <v>77</v>
      </c>
      <c r="E35" s="110">
        <v>750</v>
      </c>
      <c r="F35" s="120"/>
      <c r="G35" s="110">
        <v>31.65</v>
      </c>
      <c r="H35" s="144"/>
      <c r="I35" s="110">
        <v>20.5</v>
      </c>
      <c r="J35" s="144"/>
      <c r="K35" s="110"/>
      <c r="L35" s="110"/>
      <c r="M35" s="121">
        <f t="shared" si="11"/>
        <v>802.15</v>
      </c>
      <c r="N35" s="110">
        <f t="shared" si="12"/>
        <v>11125.8</v>
      </c>
    </row>
    <row r="36" spans="1:14" s="138" customFormat="1" ht="17.100000000000001" hidden="1" customHeight="1" x14ac:dyDescent="0.2">
      <c r="A36" s="82">
        <v>7</v>
      </c>
      <c r="B36" s="82" t="s">
        <v>72</v>
      </c>
      <c r="C36" s="109">
        <v>2214</v>
      </c>
      <c r="D36" s="87" t="s">
        <v>92</v>
      </c>
      <c r="E36" s="110">
        <v>1047.3</v>
      </c>
      <c r="F36" s="120"/>
      <c r="G36" s="110">
        <v>0</v>
      </c>
      <c r="H36" s="144"/>
      <c r="I36" s="110">
        <v>0</v>
      </c>
      <c r="J36" s="144"/>
      <c r="K36" s="110"/>
      <c r="L36" s="110"/>
      <c r="M36" s="121">
        <f t="shared" si="11"/>
        <v>1047.3</v>
      </c>
      <c r="N36" s="110">
        <f t="shared" si="12"/>
        <v>14662.199999999999</v>
      </c>
    </row>
    <row r="37" spans="1:14" s="138" customFormat="1" ht="17.100000000000001" hidden="1" customHeight="1" x14ac:dyDescent="0.2">
      <c r="A37" s="82">
        <v>10</v>
      </c>
      <c r="B37" s="82" t="s">
        <v>90</v>
      </c>
      <c r="C37" s="109">
        <v>19906</v>
      </c>
      <c r="D37" s="87" t="s">
        <v>89</v>
      </c>
      <c r="E37" s="110">
        <v>760.35</v>
      </c>
      <c r="F37" s="120"/>
      <c r="G37" s="110">
        <v>0</v>
      </c>
      <c r="H37" s="144"/>
      <c r="I37" s="110">
        <v>0</v>
      </c>
      <c r="J37" s="144"/>
      <c r="K37" s="110">
        <v>55.45</v>
      </c>
      <c r="L37" s="110"/>
      <c r="M37" s="121">
        <f t="shared" si="11"/>
        <v>815.80000000000007</v>
      </c>
      <c r="N37" s="110">
        <f t="shared" si="12"/>
        <v>11421.2</v>
      </c>
    </row>
    <row r="38" spans="1:14" s="138" customFormat="1" ht="17.100000000000001" customHeight="1" x14ac:dyDescent="0.2">
      <c r="A38" s="82">
        <v>6</v>
      </c>
      <c r="B38" s="82" t="s">
        <v>72</v>
      </c>
      <c r="C38" s="109">
        <v>2053</v>
      </c>
      <c r="D38" s="87" t="s">
        <v>88</v>
      </c>
      <c r="E38" s="110">
        <v>883.79</v>
      </c>
      <c r="F38" s="143">
        <f>E38/30</f>
        <v>29.459666666666667</v>
      </c>
      <c r="G38" s="110">
        <v>79.3</v>
      </c>
      <c r="H38" s="143">
        <f>G38/30</f>
        <v>2.6433333333333331</v>
      </c>
      <c r="I38" s="110">
        <v>57.18</v>
      </c>
      <c r="J38" s="143">
        <f t="shared" ref="J38:J43" si="15">I38/30</f>
        <v>1.9059999999999999</v>
      </c>
      <c r="K38" s="110"/>
      <c r="L38" s="110"/>
      <c r="M38" s="121">
        <f t="shared" si="11"/>
        <v>1020.27</v>
      </c>
      <c r="N38" s="110">
        <f t="shared" si="12"/>
        <v>14010.82</v>
      </c>
    </row>
    <row r="39" spans="1:14" s="138" customFormat="1" ht="17.100000000000001" customHeight="1" x14ac:dyDescent="0.2">
      <c r="A39" s="80">
        <v>6</v>
      </c>
      <c r="B39" s="80" t="s">
        <v>72</v>
      </c>
      <c r="C39" s="107">
        <v>2043</v>
      </c>
      <c r="D39" s="87" t="s">
        <v>36</v>
      </c>
      <c r="E39" s="110">
        <v>750</v>
      </c>
      <c r="F39" s="143">
        <f>E39/30</f>
        <v>25</v>
      </c>
      <c r="G39" s="110">
        <v>31.65</v>
      </c>
      <c r="H39" s="145">
        <f>G39/30</f>
        <v>1.0549999999999999</v>
      </c>
      <c r="I39" s="113">
        <v>20.5</v>
      </c>
      <c r="J39" s="143">
        <f t="shared" si="15"/>
        <v>0.68333333333333335</v>
      </c>
      <c r="K39" s="113"/>
      <c r="L39" s="113"/>
      <c r="M39" s="115">
        <f t="shared" si="11"/>
        <v>802.15</v>
      </c>
      <c r="N39" s="113">
        <f t="shared" si="12"/>
        <v>11125.8</v>
      </c>
    </row>
    <row r="40" spans="1:14" s="138" customFormat="1" ht="17.100000000000001" hidden="1" customHeight="1" x14ac:dyDescent="0.2">
      <c r="A40" s="82">
        <v>6</v>
      </c>
      <c r="B40" s="82" t="s">
        <v>72</v>
      </c>
      <c r="C40" s="109">
        <v>2045</v>
      </c>
      <c r="D40" s="87" t="s">
        <v>96</v>
      </c>
      <c r="E40" s="110">
        <v>714.15</v>
      </c>
      <c r="F40" s="144">
        <f>E40/30</f>
        <v>23.805</v>
      </c>
      <c r="G40" s="110">
        <v>57.83</v>
      </c>
      <c r="H40" s="144">
        <f>G40/30</f>
        <v>1.9276666666666666</v>
      </c>
      <c r="I40" s="110">
        <v>27.76</v>
      </c>
      <c r="J40" s="144">
        <f t="shared" si="15"/>
        <v>0.92533333333333334</v>
      </c>
      <c r="K40" s="110"/>
      <c r="L40" s="110"/>
      <c r="M40" s="121">
        <f t="shared" si="11"/>
        <v>799.74</v>
      </c>
      <c r="N40" s="110">
        <f t="shared" si="12"/>
        <v>11025.18</v>
      </c>
    </row>
    <row r="41" spans="1:14" s="138" customFormat="1" ht="17.100000000000001" customHeight="1" x14ac:dyDescent="0.2">
      <c r="A41" s="80">
        <v>10</v>
      </c>
      <c r="B41" s="80" t="s">
        <v>72</v>
      </c>
      <c r="C41" s="107">
        <v>2051</v>
      </c>
      <c r="D41" s="87" t="s">
        <v>108</v>
      </c>
      <c r="E41" s="110">
        <v>750</v>
      </c>
      <c r="F41" s="143">
        <f>E41/30</f>
        <v>25</v>
      </c>
      <c r="G41" s="110">
        <v>36.47</v>
      </c>
      <c r="H41" s="145">
        <f>G41/30</f>
        <v>1.2156666666666667</v>
      </c>
      <c r="I41" s="113">
        <v>0</v>
      </c>
      <c r="J41" s="144"/>
      <c r="K41" s="113"/>
      <c r="L41" s="113"/>
      <c r="M41" s="115">
        <f t="shared" si="11"/>
        <v>786.47</v>
      </c>
      <c r="N41" s="113">
        <f t="shared" si="12"/>
        <v>10937.64</v>
      </c>
    </row>
    <row r="42" spans="1:14" s="138" customFormat="1" ht="17.100000000000001" customHeight="1" x14ac:dyDescent="0.2">
      <c r="A42" s="80">
        <v>7</v>
      </c>
      <c r="B42" s="80" t="s">
        <v>72</v>
      </c>
      <c r="C42" s="107">
        <v>2209</v>
      </c>
      <c r="D42" s="87" t="s">
        <v>107</v>
      </c>
      <c r="E42" s="110">
        <v>750</v>
      </c>
      <c r="F42" s="143">
        <f>E42/30</f>
        <v>25</v>
      </c>
      <c r="G42" s="110">
        <v>31.65</v>
      </c>
      <c r="H42" s="145">
        <f>G42/30</f>
        <v>1.0549999999999999</v>
      </c>
      <c r="I42" s="113">
        <v>20.5</v>
      </c>
      <c r="J42" s="143">
        <f t="shared" si="15"/>
        <v>0.68333333333333335</v>
      </c>
      <c r="K42" s="113"/>
      <c r="L42" s="113"/>
      <c r="M42" s="115">
        <f t="shared" si="11"/>
        <v>802.15</v>
      </c>
      <c r="N42" s="113">
        <f t="shared" si="12"/>
        <v>11125.8</v>
      </c>
    </row>
    <row r="43" spans="1:14" ht="17.100000000000001" hidden="1" customHeight="1" x14ac:dyDescent="0.2">
      <c r="A43" s="82">
        <v>7</v>
      </c>
      <c r="B43" s="82" t="s">
        <v>72</v>
      </c>
      <c r="C43" s="109">
        <v>2215</v>
      </c>
      <c r="D43" s="87" t="s">
        <v>95</v>
      </c>
      <c r="E43" s="110">
        <v>946.91</v>
      </c>
      <c r="F43" s="120"/>
      <c r="G43" s="110">
        <v>0</v>
      </c>
      <c r="H43" s="120"/>
      <c r="I43" s="110">
        <v>0</v>
      </c>
      <c r="J43" s="120">
        <f t="shared" si="15"/>
        <v>0</v>
      </c>
      <c r="K43" s="110"/>
      <c r="L43" s="110"/>
      <c r="M43" s="121">
        <f t="shared" si="11"/>
        <v>946.91</v>
      </c>
      <c r="N43" s="110">
        <f t="shared" si="12"/>
        <v>13256.74</v>
      </c>
    </row>
    <row r="44" spans="1:14" x14ac:dyDescent="0.2">
      <c r="A44" s="139"/>
      <c r="B44" s="139"/>
    </row>
    <row r="45" spans="1:14" ht="23.25" customHeight="1" x14ac:dyDescent="0.2">
      <c r="A45" s="129" t="s">
        <v>78</v>
      </c>
      <c r="B45" s="89"/>
      <c r="C45" s="125"/>
      <c r="D45" s="126"/>
      <c r="E45" s="127"/>
      <c r="F45" s="128"/>
      <c r="G45" s="186" t="s">
        <v>103</v>
      </c>
      <c r="H45" s="186"/>
      <c r="I45" s="186"/>
      <c r="J45" s="186"/>
      <c r="K45" s="186"/>
      <c r="L45" s="186"/>
      <c r="M45" s="186"/>
    </row>
    <row r="46" spans="1:14" ht="12.95" customHeight="1" x14ac:dyDescent="0.2">
      <c r="A46" s="98" t="s">
        <v>79</v>
      </c>
      <c r="B46" s="99"/>
      <c r="C46" s="99"/>
      <c r="D46" s="99"/>
      <c r="E46" s="104" t="s">
        <v>80</v>
      </c>
      <c r="F46" s="88"/>
      <c r="G46" s="189" t="s">
        <v>97</v>
      </c>
      <c r="H46" s="190"/>
      <c r="I46" s="190"/>
      <c r="J46" s="190"/>
      <c r="K46" s="190"/>
      <c r="L46" s="190"/>
      <c r="M46" s="190"/>
      <c r="N46" s="95">
        <v>0.7</v>
      </c>
    </row>
    <row r="47" spans="1:14" ht="12.95" customHeight="1" x14ac:dyDescent="0.2">
      <c r="A47" s="100" t="s">
        <v>81</v>
      </c>
      <c r="B47" s="101"/>
      <c r="C47" s="101"/>
      <c r="D47" s="101"/>
      <c r="E47" s="105" t="s">
        <v>82</v>
      </c>
      <c r="F47" s="88"/>
      <c r="G47" s="187" t="s">
        <v>98</v>
      </c>
      <c r="H47" s="188"/>
      <c r="I47" s="188"/>
      <c r="J47" s="188"/>
      <c r="K47" s="188"/>
      <c r="L47" s="188"/>
      <c r="M47" s="188"/>
      <c r="N47" s="96">
        <v>0.2</v>
      </c>
    </row>
    <row r="48" spans="1:14" ht="12.95" customHeight="1" x14ac:dyDescent="0.2">
      <c r="A48" s="100" t="s">
        <v>83</v>
      </c>
      <c r="B48" s="101"/>
      <c r="C48" s="101"/>
      <c r="D48" s="101"/>
      <c r="E48" s="105" t="s">
        <v>84</v>
      </c>
      <c r="F48" s="88"/>
      <c r="G48" s="187" t="s">
        <v>99</v>
      </c>
      <c r="H48" s="188"/>
      <c r="I48" s="188"/>
      <c r="J48" s="188"/>
      <c r="K48" s="188"/>
      <c r="L48" s="188"/>
      <c r="M48" s="188"/>
      <c r="N48" s="96">
        <v>0.23</v>
      </c>
    </row>
    <row r="49" spans="1:14" ht="12.95" customHeight="1" x14ac:dyDescent="0.2">
      <c r="A49" s="100" t="s">
        <v>85</v>
      </c>
      <c r="B49" s="101"/>
      <c r="C49" s="101"/>
      <c r="D49" s="101"/>
      <c r="E49" s="105" t="s">
        <v>86</v>
      </c>
      <c r="F49" s="88"/>
      <c r="G49" s="187" t="s">
        <v>100</v>
      </c>
      <c r="H49" s="188"/>
      <c r="I49" s="188"/>
      <c r="J49" s="188"/>
      <c r="K49" s="188"/>
      <c r="L49" s="188"/>
      <c r="M49" s="188"/>
      <c r="N49" s="96">
        <v>118.96</v>
      </c>
    </row>
    <row r="50" spans="1:14" ht="12.95" customHeight="1" x14ac:dyDescent="0.2">
      <c r="A50" s="102" t="s">
        <v>104</v>
      </c>
      <c r="B50" s="103"/>
      <c r="C50" s="103"/>
      <c r="D50" s="103"/>
      <c r="E50" s="106" t="s">
        <v>87</v>
      </c>
      <c r="F50" s="88"/>
      <c r="G50" s="187" t="s">
        <v>105</v>
      </c>
      <c r="H50" s="188"/>
      <c r="I50" s="188"/>
      <c r="J50" s="188"/>
      <c r="K50" s="188"/>
      <c r="L50" s="188"/>
      <c r="M50" s="188"/>
      <c r="N50" s="96">
        <v>116.39</v>
      </c>
    </row>
    <row r="51" spans="1:14" ht="12.95" customHeight="1" x14ac:dyDescent="0.2">
      <c r="A51" s="91"/>
      <c r="B51" s="91"/>
      <c r="C51" s="91"/>
      <c r="D51" s="90"/>
      <c r="E51" s="90"/>
      <c r="F51" s="88"/>
      <c r="G51" s="187" t="s">
        <v>101</v>
      </c>
      <c r="H51" s="188"/>
      <c r="I51" s="188"/>
      <c r="J51" s="188"/>
      <c r="K51" s="188"/>
      <c r="L51" s="188"/>
      <c r="M51" s="188"/>
      <c r="N51" s="96">
        <v>102.21</v>
      </c>
    </row>
    <row r="52" spans="1:14" ht="12.95" customHeight="1" x14ac:dyDescent="0.2">
      <c r="A52" s="140"/>
      <c r="B52" s="140"/>
      <c r="C52" s="141"/>
      <c r="D52" s="90"/>
      <c r="E52" s="90"/>
      <c r="G52" s="191" t="s">
        <v>102</v>
      </c>
      <c r="H52" s="192"/>
      <c r="I52" s="192"/>
      <c r="J52" s="192"/>
      <c r="K52" s="192"/>
      <c r="L52" s="192"/>
      <c r="M52" s="192"/>
      <c r="N52" s="134">
        <v>47.9</v>
      </c>
    </row>
    <row r="53" spans="1:14" ht="15" customHeight="1" x14ac:dyDescent="0.2">
      <c r="A53" s="139"/>
      <c r="B53" s="139"/>
    </row>
    <row r="54" spans="1:14" ht="15" customHeight="1" x14ac:dyDescent="0.2"/>
    <row r="55" spans="1:14" ht="15" customHeight="1" x14ac:dyDescent="0.2">
      <c r="N55" s="142"/>
    </row>
    <row r="56" spans="1:14" x14ac:dyDescent="0.2">
      <c r="N56" s="142"/>
    </row>
    <row r="57" spans="1:14" x14ac:dyDescent="0.2">
      <c r="N57" s="142"/>
    </row>
    <row r="58" spans="1:14" x14ac:dyDescent="0.2">
      <c r="N58" s="142"/>
    </row>
  </sheetData>
  <sheetProtection selectLockedCells="1" selectUnlockedCells="1"/>
  <autoFilter ref="A3:N53" xr:uid="{00000000-0009-0000-0000-000009000000}"/>
  <mergeCells count="8">
    <mergeCell ref="G51:M51"/>
    <mergeCell ref="G52:M52"/>
    <mergeCell ref="G45:M45"/>
    <mergeCell ref="G46:M46"/>
    <mergeCell ref="G47:M47"/>
    <mergeCell ref="G48:M48"/>
    <mergeCell ref="G49:M49"/>
    <mergeCell ref="G50:M50"/>
  </mergeCells>
  <printOptions horizontalCentered="1"/>
  <pageMargins left="0.15748031496062992" right="0.15748031496062992" top="1.06" bottom="0.15748031496062992" header="0.43" footer="0.15748031496062992"/>
  <pageSetup paperSize="9" scale="78" orientation="portrait" r:id="rId1"/>
  <headerFooter alignWithMargins="0">
    <oddHeader>&amp;C&amp;"Calibri,Negrita"&amp;12&amp;ETABLA SALARIAL CONVENIO SERVICIOS SECURITAS, S.A. 2018</oddHeader>
  </headerFooter>
  <rowBreaks count="1" manualBreakCount="1">
    <brk id="43" max="16383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A18E0-F044-49A6-AA73-77D63A6D9D26}">
  <sheetPr>
    <pageSetUpPr fitToPage="1"/>
  </sheetPr>
  <dimension ref="A1:T58"/>
  <sheetViews>
    <sheetView zoomScale="110" zoomScaleNormal="110" workbookViewId="0">
      <pane ySplit="3" topLeftCell="A4" activePane="bottomLeft" state="frozen"/>
      <selection pane="bottomLeft" activeCell="W23" sqref="W23"/>
    </sheetView>
  </sheetViews>
  <sheetFormatPr baseColWidth="10" defaultColWidth="10.140625" defaultRowHeight="12.75" x14ac:dyDescent="0.2"/>
  <cols>
    <col min="1" max="1" width="6.42578125" style="136" bestFit="1" customWidth="1"/>
    <col min="2" max="2" width="6.42578125" style="136" customWidth="1"/>
    <col min="3" max="3" width="9.7109375" style="136" bestFit="1" customWidth="1"/>
    <col min="4" max="4" width="42.28515625" style="73" bestFit="1" customWidth="1"/>
    <col min="5" max="5" width="8" style="73" customWidth="1"/>
    <col min="6" max="6" width="10.7109375" style="73" hidden="1" customWidth="1"/>
    <col min="7" max="7" width="8.5703125" style="142" customWidth="1"/>
    <col min="8" max="8" width="9.7109375" style="73" hidden="1" customWidth="1"/>
    <col min="9" max="9" width="7.140625" style="73" customWidth="1"/>
    <col min="10" max="10" width="9.85546875" style="73" hidden="1" customWidth="1"/>
    <col min="11" max="11" width="6.42578125" style="73" customWidth="1"/>
    <col min="12" max="12" width="10.7109375" style="73" hidden="1" customWidth="1"/>
    <col min="13" max="13" width="7.28515625" style="73" customWidth="1"/>
    <col min="14" max="14" width="10.7109375" style="73" hidden="1" customWidth="1"/>
    <col min="15" max="15" width="7.7109375" style="73" customWidth="1"/>
    <col min="16" max="16" width="8.5703125" style="73" customWidth="1"/>
    <col min="17" max="17" width="7.5703125" style="73" hidden="1" customWidth="1"/>
    <col min="18" max="18" width="11.5703125" style="73" hidden="1" customWidth="1"/>
    <col min="19" max="19" width="8.85546875" style="73" hidden="1" customWidth="1"/>
    <col min="20" max="20" width="6.85546875" style="73" hidden="1" customWidth="1"/>
    <col min="21" max="21" width="10.5703125" style="73" customWidth="1"/>
    <col min="22" max="22" width="7.85546875" style="73" bestFit="1" customWidth="1"/>
    <col min="23" max="23" width="8" style="73" bestFit="1" customWidth="1"/>
    <col min="24" max="24" width="9" style="73" customWidth="1"/>
    <col min="25" max="25" width="8.140625" style="73" customWidth="1"/>
    <col min="26" max="26" width="9" style="73" customWidth="1"/>
    <col min="27" max="16384" width="10.140625" style="73"/>
  </cols>
  <sheetData>
    <row r="1" spans="1:20" ht="33" customHeight="1" x14ac:dyDescent="0.2">
      <c r="A1" s="135" t="s">
        <v>114</v>
      </c>
    </row>
    <row r="3" spans="1:20" s="137" customFormat="1" ht="39.75" customHeight="1" x14ac:dyDescent="0.2">
      <c r="A3" s="130" t="s">
        <v>69</v>
      </c>
      <c r="B3" s="130" t="s">
        <v>70</v>
      </c>
      <c r="C3" s="130" t="s">
        <v>0</v>
      </c>
      <c r="D3" s="131" t="s">
        <v>1</v>
      </c>
      <c r="E3" s="132" t="s">
        <v>2</v>
      </c>
      <c r="F3" s="74">
        <v>110021</v>
      </c>
      <c r="G3" s="132" t="s">
        <v>110</v>
      </c>
      <c r="H3" s="74">
        <v>122520</v>
      </c>
      <c r="I3" s="132" t="s">
        <v>3</v>
      </c>
      <c r="J3" s="75">
        <v>15220</v>
      </c>
      <c r="K3" s="132" t="s">
        <v>4</v>
      </c>
      <c r="L3" s="75">
        <v>116220</v>
      </c>
      <c r="M3" s="132" t="s">
        <v>5</v>
      </c>
      <c r="N3" s="74">
        <v>117520</v>
      </c>
      <c r="O3" s="131" t="s">
        <v>62</v>
      </c>
      <c r="P3" s="132" t="s">
        <v>63</v>
      </c>
      <c r="Q3" s="153" t="s">
        <v>111</v>
      </c>
      <c r="R3" s="154" t="s">
        <v>112</v>
      </c>
      <c r="S3" s="193" t="s">
        <v>113</v>
      </c>
      <c r="T3" s="193"/>
    </row>
    <row r="4" spans="1:20" ht="18" customHeight="1" x14ac:dyDescent="0.2">
      <c r="A4" s="76"/>
      <c r="B4" s="76"/>
      <c r="C4" s="76"/>
      <c r="D4" s="123" t="s">
        <v>13</v>
      </c>
      <c r="E4" s="77"/>
      <c r="F4" s="78"/>
      <c r="G4" s="77"/>
      <c r="H4" s="78"/>
      <c r="I4" s="77"/>
      <c r="J4" s="78"/>
      <c r="K4" s="77"/>
      <c r="L4" s="78"/>
      <c r="M4" s="77"/>
      <c r="N4" s="77"/>
      <c r="O4" s="77"/>
      <c r="P4" s="77"/>
    </row>
    <row r="5" spans="1:20" ht="17.100000000000001" customHeight="1" x14ac:dyDescent="0.2">
      <c r="A5" s="80">
        <v>1</v>
      </c>
      <c r="B5" s="80" t="s">
        <v>71</v>
      </c>
      <c r="C5" s="107">
        <v>2102</v>
      </c>
      <c r="D5" s="97" t="s">
        <v>14</v>
      </c>
      <c r="E5" s="110">
        <v>1559.8</v>
      </c>
      <c r="F5" s="143">
        <f t="shared" ref="F5:F19" si="0">E5/30</f>
        <v>51.993333333333332</v>
      </c>
      <c r="G5" s="110"/>
      <c r="H5" s="143">
        <f>+G5/30</f>
        <v>0</v>
      </c>
      <c r="I5" s="110">
        <v>69.38</v>
      </c>
      <c r="J5" s="145">
        <f t="shared" ref="J5:J25" si="1">I5/30</f>
        <v>2.3126666666666664</v>
      </c>
      <c r="K5" s="113"/>
      <c r="L5" s="114"/>
      <c r="M5" s="113"/>
      <c r="N5" s="113"/>
      <c r="O5" s="115">
        <f>+M5+K5+I5+E5+G5</f>
        <v>1629.1799999999998</v>
      </c>
      <c r="P5" s="113">
        <f>((E5+M5+G5)*14)+((I5+K5)*12)</f>
        <v>22669.760000000002</v>
      </c>
      <c r="Q5" s="155">
        <v>12600</v>
      </c>
      <c r="R5" s="156">
        <f>+P5-Q5</f>
        <v>10069.760000000002</v>
      </c>
      <c r="S5" s="155"/>
      <c r="T5" s="155"/>
    </row>
    <row r="6" spans="1:20" ht="17.100000000000001" customHeight="1" x14ac:dyDescent="0.2">
      <c r="A6" s="80">
        <v>1</v>
      </c>
      <c r="B6" s="80" t="s">
        <v>71</v>
      </c>
      <c r="C6" s="107">
        <v>2105</v>
      </c>
      <c r="D6" s="97" t="s">
        <v>15</v>
      </c>
      <c r="E6" s="110">
        <v>1483.11</v>
      </c>
      <c r="F6" s="143">
        <f t="shared" si="0"/>
        <v>49.436999999999998</v>
      </c>
      <c r="G6" s="110"/>
      <c r="H6" s="143">
        <f t="shared" ref="H6:H12" si="2">+G6/30</f>
        <v>0</v>
      </c>
      <c r="I6" s="110">
        <v>69.38</v>
      </c>
      <c r="J6" s="145">
        <f t="shared" si="1"/>
        <v>2.3126666666666664</v>
      </c>
      <c r="K6" s="113"/>
      <c r="L6" s="114"/>
      <c r="M6" s="113"/>
      <c r="N6" s="113"/>
      <c r="O6" s="115">
        <f t="shared" ref="O6:O12" si="3">+M6+K6+I6+E6+G6</f>
        <v>1552.4899999999998</v>
      </c>
      <c r="P6" s="113">
        <f t="shared" ref="P6:P12" si="4">((E6+M6+G6)*14)+((I6+K6)*12)</f>
        <v>21596.1</v>
      </c>
      <c r="Q6" s="155">
        <v>12600</v>
      </c>
      <c r="R6" s="156">
        <f t="shared" ref="R6:R25" si="5">+P6-Q6</f>
        <v>8996.0999999999985</v>
      </c>
      <c r="S6" s="155"/>
      <c r="T6" s="155"/>
    </row>
    <row r="7" spans="1:20" ht="17.100000000000001" customHeight="1" x14ac:dyDescent="0.2">
      <c r="A7" s="80">
        <v>1</v>
      </c>
      <c r="B7" s="80" t="s">
        <v>71</v>
      </c>
      <c r="C7" s="107">
        <v>2109</v>
      </c>
      <c r="D7" s="97" t="s">
        <v>16</v>
      </c>
      <c r="E7" s="110">
        <v>1483.11</v>
      </c>
      <c r="F7" s="143">
        <f t="shared" si="0"/>
        <v>49.436999999999998</v>
      </c>
      <c r="G7" s="110"/>
      <c r="H7" s="143">
        <f t="shared" si="2"/>
        <v>0</v>
      </c>
      <c r="I7" s="110">
        <v>69.38</v>
      </c>
      <c r="J7" s="145">
        <f t="shared" si="1"/>
        <v>2.3126666666666664</v>
      </c>
      <c r="K7" s="113"/>
      <c r="L7" s="114"/>
      <c r="M7" s="113"/>
      <c r="N7" s="113"/>
      <c r="O7" s="115">
        <f t="shared" si="3"/>
        <v>1552.4899999999998</v>
      </c>
      <c r="P7" s="113">
        <f t="shared" si="4"/>
        <v>21596.1</v>
      </c>
      <c r="Q7" s="155">
        <v>12600</v>
      </c>
      <c r="R7" s="156">
        <f t="shared" si="5"/>
        <v>8996.0999999999985</v>
      </c>
      <c r="S7" s="155"/>
      <c r="T7" s="155"/>
    </row>
    <row r="8" spans="1:20" ht="17.100000000000001" customHeight="1" x14ac:dyDescent="0.2">
      <c r="A8" s="80">
        <v>1</v>
      </c>
      <c r="B8" s="80" t="s">
        <v>71</v>
      </c>
      <c r="C8" s="107">
        <v>2103</v>
      </c>
      <c r="D8" s="97" t="s">
        <v>46</v>
      </c>
      <c r="E8" s="110">
        <v>1483.11</v>
      </c>
      <c r="F8" s="143">
        <f t="shared" si="0"/>
        <v>49.436999999999998</v>
      </c>
      <c r="G8" s="110"/>
      <c r="H8" s="143">
        <f t="shared" si="2"/>
        <v>0</v>
      </c>
      <c r="I8" s="110">
        <v>69.38</v>
      </c>
      <c r="J8" s="145">
        <f t="shared" si="1"/>
        <v>2.3126666666666664</v>
      </c>
      <c r="K8" s="113"/>
      <c r="L8" s="114"/>
      <c r="M8" s="113"/>
      <c r="N8" s="113"/>
      <c r="O8" s="115">
        <f t="shared" si="3"/>
        <v>1552.4899999999998</v>
      </c>
      <c r="P8" s="113">
        <f t="shared" si="4"/>
        <v>21596.1</v>
      </c>
      <c r="Q8" s="155">
        <v>12600</v>
      </c>
      <c r="R8" s="156">
        <f t="shared" si="5"/>
        <v>8996.0999999999985</v>
      </c>
      <c r="S8" s="155"/>
      <c r="T8" s="155"/>
    </row>
    <row r="9" spans="1:20" ht="17.100000000000001" customHeight="1" x14ac:dyDescent="0.2">
      <c r="A9" s="80">
        <v>3</v>
      </c>
      <c r="B9" s="80" t="s">
        <v>71</v>
      </c>
      <c r="C9" s="107">
        <v>2122</v>
      </c>
      <c r="D9" s="97" t="s">
        <v>17</v>
      </c>
      <c r="E9" s="110">
        <v>1410.41</v>
      </c>
      <c r="F9" s="143">
        <f t="shared" si="0"/>
        <v>47.013666666666673</v>
      </c>
      <c r="G9" s="110"/>
      <c r="H9" s="143">
        <f t="shared" si="2"/>
        <v>0</v>
      </c>
      <c r="I9" s="110">
        <v>69.38</v>
      </c>
      <c r="J9" s="145">
        <f t="shared" si="1"/>
        <v>2.3126666666666664</v>
      </c>
      <c r="K9" s="113"/>
      <c r="L9" s="114"/>
      <c r="M9" s="113"/>
      <c r="N9" s="113"/>
      <c r="O9" s="115">
        <f t="shared" si="3"/>
        <v>1479.79</v>
      </c>
      <c r="P9" s="113">
        <f t="shared" si="4"/>
        <v>20578.300000000003</v>
      </c>
      <c r="Q9" s="155">
        <v>12600</v>
      </c>
      <c r="R9" s="156">
        <f t="shared" si="5"/>
        <v>7978.3000000000029</v>
      </c>
      <c r="S9" s="155"/>
      <c r="T9" s="155"/>
    </row>
    <row r="10" spans="1:20" ht="17.100000000000001" customHeight="1" x14ac:dyDescent="0.2">
      <c r="A10" s="80">
        <v>1</v>
      </c>
      <c r="B10" s="80" t="s">
        <v>71</v>
      </c>
      <c r="C10" s="107">
        <v>2126</v>
      </c>
      <c r="D10" s="97" t="s">
        <v>47</v>
      </c>
      <c r="E10" s="110">
        <v>1410.41</v>
      </c>
      <c r="F10" s="143">
        <f t="shared" si="0"/>
        <v>47.013666666666673</v>
      </c>
      <c r="G10" s="110"/>
      <c r="H10" s="143">
        <f t="shared" si="2"/>
        <v>0</v>
      </c>
      <c r="I10" s="110">
        <v>69.38</v>
      </c>
      <c r="J10" s="145">
        <f t="shared" si="1"/>
        <v>2.3126666666666664</v>
      </c>
      <c r="K10" s="113"/>
      <c r="L10" s="114"/>
      <c r="M10" s="113"/>
      <c r="N10" s="113"/>
      <c r="O10" s="115">
        <f t="shared" si="3"/>
        <v>1479.79</v>
      </c>
      <c r="P10" s="113">
        <f t="shared" si="4"/>
        <v>20578.300000000003</v>
      </c>
      <c r="Q10" s="155">
        <v>12600</v>
      </c>
      <c r="R10" s="156">
        <f t="shared" si="5"/>
        <v>7978.3000000000029</v>
      </c>
      <c r="S10" s="155"/>
      <c r="T10" s="155"/>
    </row>
    <row r="11" spans="1:20" ht="17.100000000000001" customHeight="1" x14ac:dyDescent="0.2">
      <c r="A11" s="80">
        <v>1</v>
      </c>
      <c r="B11" s="80" t="s">
        <v>71</v>
      </c>
      <c r="C11" s="107">
        <v>2113</v>
      </c>
      <c r="D11" s="97" t="s">
        <v>18</v>
      </c>
      <c r="E11" s="110">
        <v>1410.41</v>
      </c>
      <c r="F11" s="143">
        <f t="shared" si="0"/>
        <v>47.013666666666673</v>
      </c>
      <c r="G11" s="110"/>
      <c r="H11" s="143">
        <f t="shared" si="2"/>
        <v>0</v>
      </c>
      <c r="I11" s="110">
        <v>69.38</v>
      </c>
      <c r="J11" s="145">
        <f t="shared" si="1"/>
        <v>2.3126666666666664</v>
      </c>
      <c r="K11" s="113"/>
      <c r="L11" s="114"/>
      <c r="M11" s="113"/>
      <c r="N11" s="113"/>
      <c r="O11" s="115">
        <f t="shared" si="3"/>
        <v>1479.79</v>
      </c>
      <c r="P11" s="113">
        <f t="shared" si="4"/>
        <v>20578.300000000003</v>
      </c>
      <c r="Q11" s="155">
        <v>12600</v>
      </c>
      <c r="R11" s="156">
        <f t="shared" si="5"/>
        <v>7978.3000000000029</v>
      </c>
      <c r="S11" s="155"/>
      <c r="T11" s="155"/>
    </row>
    <row r="12" spans="1:20" ht="17.100000000000001" customHeight="1" x14ac:dyDescent="0.2">
      <c r="A12" s="80">
        <v>2</v>
      </c>
      <c r="B12" s="80" t="s">
        <v>71</v>
      </c>
      <c r="C12" s="107">
        <v>2114</v>
      </c>
      <c r="D12" s="97" t="s">
        <v>19</v>
      </c>
      <c r="E12" s="110">
        <v>1341.37</v>
      </c>
      <c r="F12" s="143">
        <f t="shared" si="0"/>
        <v>44.712333333333326</v>
      </c>
      <c r="G12" s="110"/>
      <c r="H12" s="143">
        <f t="shared" si="2"/>
        <v>0</v>
      </c>
      <c r="I12" s="110">
        <v>69.38</v>
      </c>
      <c r="J12" s="145">
        <f t="shared" si="1"/>
        <v>2.3126666666666664</v>
      </c>
      <c r="K12" s="113"/>
      <c r="L12" s="114"/>
      <c r="M12" s="113"/>
      <c r="N12" s="113"/>
      <c r="O12" s="115">
        <f t="shared" si="3"/>
        <v>1410.75</v>
      </c>
      <c r="P12" s="113">
        <f t="shared" si="4"/>
        <v>19611.740000000002</v>
      </c>
      <c r="Q12" s="155">
        <v>12600</v>
      </c>
      <c r="R12" s="156">
        <f t="shared" si="5"/>
        <v>7011.7400000000016</v>
      </c>
      <c r="S12" s="155"/>
      <c r="T12" s="155"/>
    </row>
    <row r="13" spans="1:20" ht="18" customHeight="1" x14ac:dyDescent="0.2">
      <c r="A13" s="81"/>
      <c r="B13" s="81"/>
      <c r="C13" s="108"/>
      <c r="D13" s="124" t="s">
        <v>20</v>
      </c>
      <c r="E13" s="116"/>
      <c r="F13" s="117"/>
      <c r="G13" s="148"/>
      <c r="H13" s="117"/>
      <c r="I13" s="116"/>
      <c r="J13" s="146"/>
      <c r="K13" s="118"/>
      <c r="L13" s="119"/>
      <c r="M13" s="118"/>
      <c r="N13" s="118"/>
      <c r="O13" s="118"/>
      <c r="P13" s="116"/>
    </row>
    <row r="14" spans="1:20" ht="17.100000000000001" customHeight="1" x14ac:dyDescent="0.2">
      <c r="A14" s="80">
        <v>3</v>
      </c>
      <c r="B14" s="80" t="s">
        <v>71</v>
      </c>
      <c r="C14" s="107">
        <v>2201</v>
      </c>
      <c r="D14" s="97" t="s">
        <v>21</v>
      </c>
      <c r="E14" s="110">
        <v>1348.36</v>
      </c>
      <c r="F14" s="143">
        <f t="shared" si="0"/>
        <v>44.94533333333333</v>
      </c>
      <c r="G14" s="110"/>
      <c r="H14" s="143">
        <f t="shared" ref="H14:H19" si="6">+G14/30</f>
        <v>0</v>
      </c>
      <c r="I14" s="110">
        <v>69.38</v>
      </c>
      <c r="J14" s="145">
        <f t="shared" si="1"/>
        <v>2.3126666666666664</v>
      </c>
      <c r="K14" s="113"/>
      <c r="L14" s="114"/>
      <c r="M14" s="113"/>
      <c r="N14" s="113"/>
      <c r="O14" s="115">
        <f t="shared" ref="O14:O19" si="7">+M14+K14+I14+E14+G14</f>
        <v>1417.7399999999998</v>
      </c>
      <c r="P14" s="113">
        <f t="shared" ref="P14:P19" si="8">((E14+M14+G14)*14)+((I14+K14)*12)</f>
        <v>19709.599999999999</v>
      </c>
      <c r="Q14" s="155">
        <v>12600</v>
      </c>
      <c r="R14" s="156">
        <f t="shared" si="5"/>
        <v>7109.5999999999985</v>
      </c>
      <c r="S14" s="155"/>
      <c r="T14" s="155"/>
    </row>
    <row r="15" spans="1:20" ht="17.100000000000001" customHeight="1" x14ac:dyDescent="0.2">
      <c r="A15" s="80">
        <v>3</v>
      </c>
      <c r="B15" s="80" t="s">
        <v>71</v>
      </c>
      <c r="C15" s="107">
        <v>2202</v>
      </c>
      <c r="D15" s="97" t="s">
        <v>22</v>
      </c>
      <c r="E15" s="110">
        <v>1208.0899999999999</v>
      </c>
      <c r="F15" s="143">
        <f t="shared" si="0"/>
        <v>40.269666666666666</v>
      </c>
      <c r="G15" s="110"/>
      <c r="H15" s="143">
        <f t="shared" si="6"/>
        <v>0</v>
      </c>
      <c r="I15" s="110">
        <v>69.38</v>
      </c>
      <c r="J15" s="145">
        <f t="shared" si="1"/>
        <v>2.3126666666666664</v>
      </c>
      <c r="K15" s="113"/>
      <c r="L15" s="114"/>
      <c r="M15" s="113"/>
      <c r="N15" s="113"/>
      <c r="O15" s="115">
        <f t="shared" si="7"/>
        <v>1277.4699999999998</v>
      </c>
      <c r="P15" s="113">
        <f t="shared" si="8"/>
        <v>17745.82</v>
      </c>
      <c r="Q15" s="155">
        <v>12600</v>
      </c>
      <c r="R15" s="156">
        <f t="shared" si="5"/>
        <v>5145.82</v>
      </c>
      <c r="S15" s="155"/>
      <c r="T15" s="155"/>
    </row>
    <row r="16" spans="1:20" ht="17.100000000000001" customHeight="1" x14ac:dyDescent="0.2">
      <c r="A16" s="80">
        <v>5</v>
      </c>
      <c r="B16" s="80" t="s">
        <v>71</v>
      </c>
      <c r="C16" s="107">
        <v>2203</v>
      </c>
      <c r="D16" s="97" t="s">
        <v>23</v>
      </c>
      <c r="E16" s="110">
        <v>995.93</v>
      </c>
      <c r="F16" s="143">
        <f t="shared" si="0"/>
        <v>33.197666666666663</v>
      </c>
      <c r="G16" s="110"/>
      <c r="H16" s="143">
        <f t="shared" si="6"/>
        <v>0</v>
      </c>
      <c r="I16" s="110">
        <v>69.38</v>
      </c>
      <c r="J16" s="145">
        <f t="shared" si="1"/>
        <v>2.3126666666666664</v>
      </c>
      <c r="K16" s="113"/>
      <c r="L16" s="114"/>
      <c r="M16" s="113"/>
      <c r="N16" s="113"/>
      <c r="O16" s="115">
        <f t="shared" si="7"/>
        <v>1065.31</v>
      </c>
      <c r="P16" s="113">
        <f t="shared" si="8"/>
        <v>14775.579999999998</v>
      </c>
      <c r="Q16" s="155">
        <v>12600</v>
      </c>
      <c r="R16" s="156">
        <f t="shared" si="5"/>
        <v>2175.5799999999981</v>
      </c>
      <c r="S16" s="155"/>
      <c r="T16" s="155"/>
    </row>
    <row r="17" spans="1:20" ht="17.100000000000001" customHeight="1" x14ac:dyDescent="0.2">
      <c r="A17" s="80">
        <v>5</v>
      </c>
      <c r="B17" s="80" t="s">
        <v>71</v>
      </c>
      <c r="C17" s="107">
        <v>2204</v>
      </c>
      <c r="D17" s="97" t="s">
        <v>24</v>
      </c>
      <c r="E17" s="110">
        <v>915.62</v>
      </c>
      <c r="F17" s="143">
        <f t="shared" si="0"/>
        <v>30.520666666666667</v>
      </c>
      <c r="G17" s="110"/>
      <c r="H17" s="143">
        <f t="shared" si="6"/>
        <v>0</v>
      </c>
      <c r="I17" s="110">
        <v>69.38</v>
      </c>
      <c r="J17" s="145">
        <f t="shared" si="1"/>
        <v>2.3126666666666664</v>
      </c>
      <c r="K17" s="113"/>
      <c r="L17" s="114"/>
      <c r="M17" s="113"/>
      <c r="N17" s="113"/>
      <c r="O17" s="115">
        <f t="shared" si="7"/>
        <v>985</v>
      </c>
      <c r="P17" s="113">
        <f t="shared" si="8"/>
        <v>13651.24</v>
      </c>
      <c r="Q17" s="155">
        <v>12600</v>
      </c>
      <c r="R17" s="156">
        <f t="shared" si="5"/>
        <v>1051.2399999999998</v>
      </c>
      <c r="S17" s="155"/>
      <c r="T17" s="155"/>
    </row>
    <row r="18" spans="1:20" ht="17.100000000000001" customHeight="1" x14ac:dyDescent="0.2">
      <c r="A18" s="82">
        <v>7</v>
      </c>
      <c r="B18" s="82" t="s">
        <v>71</v>
      </c>
      <c r="C18" s="109">
        <v>2206</v>
      </c>
      <c r="D18" s="87" t="s">
        <v>25</v>
      </c>
      <c r="E18" s="110">
        <v>750</v>
      </c>
      <c r="F18" s="143">
        <f t="shared" si="0"/>
        <v>25</v>
      </c>
      <c r="G18" s="158">
        <v>118.74000000000004</v>
      </c>
      <c r="H18" s="143">
        <f t="shared" si="6"/>
        <v>3.9580000000000011</v>
      </c>
      <c r="I18" s="110">
        <v>36.47</v>
      </c>
      <c r="J18" s="145">
        <f t="shared" si="1"/>
        <v>1.2156666666666667</v>
      </c>
      <c r="K18" s="113"/>
      <c r="L18" s="114"/>
      <c r="M18" s="113"/>
      <c r="N18" s="113"/>
      <c r="O18" s="115">
        <f t="shared" si="7"/>
        <v>905.21</v>
      </c>
      <c r="P18" s="113">
        <f t="shared" si="8"/>
        <v>12600</v>
      </c>
      <c r="Q18" s="155">
        <v>12600</v>
      </c>
      <c r="R18" s="156">
        <f t="shared" si="5"/>
        <v>0</v>
      </c>
      <c r="S18" s="156">
        <f>+E18+G18+I18+K18+M18</f>
        <v>905.21</v>
      </c>
      <c r="T18" s="155">
        <f>((E18+G18+M18)*14+(I18+K18)*12)</f>
        <v>12600</v>
      </c>
    </row>
    <row r="19" spans="1:20" ht="17.100000000000001" customHeight="1" x14ac:dyDescent="0.2">
      <c r="A19" s="82">
        <v>7</v>
      </c>
      <c r="B19" s="82" t="s">
        <v>72</v>
      </c>
      <c r="C19" s="109"/>
      <c r="D19" s="87" t="s">
        <v>60</v>
      </c>
      <c r="E19" s="110">
        <v>750</v>
      </c>
      <c r="F19" s="143">
        <f t="shared" si="0"/>
        <v>25</v>
      </c>
      <c r="G19" s="158">
        <v>118.74000000000004</v>
      </c>
      <c r="H19" s="143">
        <f t="shared" si="6"/>
        <v>3.9580000000000011</v>
      </c>
      <c r="I19" s="110">
        <v>36.47</v>
      </c>
      <c r="J19" s="145">
        <f t="shared" si="1"/>
        <v>1.2156666666666667</v>
      </c>
      <c r="K19" s="113"/>
      <c r="L19" s="114"/>
      <c r="M19" s="113"/>
      <c r="N19" s="113"/>
      <c r="O19" s="115">
        <f t="shared" si="7"/>
        <v>905.21</v>
      </c>
      <c r="P19" s="113">
        <f t="shared" si="8"/>
        <v>12600</v>
      </c>
      <c r="Q19" s="155">
        <v>12600</v>
      </c>
      <c r="R19" s="156">
        <f t="shared" si="5"/>
        <v>0</v>
      </c>
      <c r="S19" s="156">
        <f>+E19+G19+I19+K19+M19</f>
        <v>905.21</v>
      </c>
      <c r="T19" s="155">
        <f>((E19+G19+M19)*14+(I19+K19)*12)</f>
        <v>12600</v>
      </c>
    </row>
    <row r="20" spans="1:20" ht="18" customHeight="1" x14ac:dyDescent="0.2">
      <c r="A20" s="81"/>
      <c r="B20" s="81"/>
      <c r="C20" s="108"/>
      <c r="D20" s="124" t="s">
        <v>28</v>
      </c>
      <c r="E20" s="116"/>
      <c r="F20" s="117"/>
      <c r="G20" s="148"/>
      <c r="H20" s="117"/>
      <c r="I20" s="116"/>
      <c r="J20" s="146"/>
      <c r="K20" s="116"/>
      <c r="L20" s="117"/>
      <c r="M20" s="116"/>
      <c r="N20" s="116"/>
      <c r="O20" s="118"/>
      <c r="P20" s="116"/>
    </row>
    <row r="21" spans="1:20" ht="17.100000000000001" customHeight="1" x14ac:dyDescent="0.2">
      <c r="A21" s="80">
        <v>3</v>
      </c>
      <c r="B21" s="80" t="s">
        <v>72</v>
      </c>
      <c r="C21" s="107">
        <v>2504</v>
      </c>
      <c r="D21" s="97" t="s">
        <v>29</v>
      </c>
      <c r="E21" s="113">
        <v>1341.37</v>
      </c>
      <c r="F21" s="143">
        <f t="shared" ref="F21:F25" si="9">E21/30</f>
        <v>44.712333333333326</v>
      </c>
      <c r="G21" s="110"/>
      <c r="H21" s="143">
        <f t="shared" ref="H21:H22" si="10">+G21/30</f>
        <v>0</v>
      </c>
      <c r="I21" s="113">
        <v>69.38</v>
      </c>
      <c r="J21" s="145">
        <f t="shared" si="1"/>
        <v>2.3126666666666664</v>
      </c>
      <c r="K21" s="113"/>
      <c r="L21" s="114"/>
      <c r="M21" s="113"/>
      <c r="N21" s="113"/>
      <c r="O21" s="115">
        <f t="shared" ref="O21:O22" si="11">+M21+K21+I21+E21+G21</f>
        <v>1410.75</v>
      </c>
      <c r="P21" s="113">
        <f t="shared" ref="P21:P22" si="12">((E21+M21+G21)*14)+((I21+K21)*12)</f>
        <v>19611.740000000002</v>
      </c>
      <c r="Q21" s="155">
        <v>12600</v>
      </c>
      <c r="R21" s="156">
        <f t="shared" si="5"/>
        <v>7011.7400000000016</v>
      </c>
      <c r="S21" s="155"/>
      <c r="T21" s="155"/>
    </row>
    <row r="22" spans="1:20" ht="17.100000000000001" customHeight="1" x14ac:dyDescent="0.2">
      <c r="A22" s="80">
        <v>5</v>
      </c>
      <c r="B22" s="80" t="s">
        <v>72</v>
      </c>
      <c r="C22" s="107">
        <v>2227</v>
      </c>
      <c r="D22" s="97" t="s">
        <v>30</v>
      </c>
      <c r="E22" s="113">
        <v>995.93</v>
      </c>
      <c r="F22" s="143">
        <f t="shared" si="9"/>
        <v>33.197666666666663</v>
      </c>
      <c r="G22" s="110"/>
      <c r="H22" s="143">
        <f t="shared" si="10"/>
        <v>0</v>
      </c>
      <c r="I22" s="113">
        <v>69.38</v>
      </c>
      <c r="J22" s="145">
        <f t="shared" si="1"/>
        <v>2.3126666666666664</v>
      </c>
      <c r="K22" s="113"/>
      <c r="L22" s="114"/>
      <c r="M22" s="113"/>
      <c r="N22" s="113"/>
      <c r="O22" s="115">
        <f t="shared" si="11"/>
        <v>1065.31</v>
      </c>
      <c r="P22" s="113">
        <f t="shared" si="12"/>
        <v>14775.579999999998</v>
      </c>
      <c r="Q22" s="155">
        <v>12600</v>
      </c>
      <c r="R22" s="156">
        <f t="shared" si="5"/>
        <v>2175.5799999999981</v>
      </c>
      <c r="S22" s="155"/>
      <c r="T22" s="155"/>
    </row>
    <row r="23" spans="1:20" ht="18" customHeight="1" x14ac:dyDescent="0.2">
      <c r="A23" s="81"/>
      <c r="B23" s="81"/>
      <c r="C23" s="108"/>
      <c r="D23" s="124" t="s">
        <v>94</v>
      </c>
      <c r="E23" s="116"/>
      <c r="F23" s="117"/>
      <c r="G23" s="148"/>
      <c r="H23" s="117"/>
      <c r="I23" s="116"/>
      <c r="J23" s="146"/>
      <c r="K23" s="116"/>
      <c r="L23" s="117"/>
      <c r="M23" s="116"/>
      <c r="N23" s="116"/>
      <c r="O23" s="118"/>
      <c r="P23" s="116"/>
    </row>
    <row r="24" spans="1:20" ht="17.100000000000001" customHeight="1" x14ac:dyDescent="0.2">
      <c r="A24" s="80">
        <v>3</v>
      </c>
      <c r="B24" s="80" t="s">
        <v>72</v>
      </c>
      <c r="C24" s="107">
        <v>2120</v>
      </c>
      <c r="D24" s="97" t="s">
        <v>48</v>
      </c>
      <c r="E24" s="110">
        <v>1348.36</v>
      </c>
      <c r="F24" s="143">
        <f t="shared" si="9"/>
        <v>44.94533333333333</v>
      </c>
      <c r="G24" s="110"/>
      <c r="H24" s="143">
        <f t="shared" ref="H24:H25" si="13">+G24/30</f>
        <v>0</v>
      </c>
      <c r="I24" s="110">
        <v>69.38</v>
      </c>
      <c r="J24" s="145">
        <f t="shared" si="1"/>
        <v>2.3126666666666664</v>
      </c>
      <c r="K24" s="113"/>
      <c r="L24" s="114"/>
      <c r="M24" s="113"/>
      <c r="N24" s="113"/>
      <c r="O24" s="115">
        <f t="shared" ref="O24:O25" si="14">+M24+K24+I24+E24+G24</f>
        <v>1417.7399999999998</v>
      </c>
      <c r="P24" s="113">
        <f t="shared" ref="P24:P25" si="15">((E24+M24+G24)*14)+((I24+K24)*12)</f>
        <v>19709.599999999999</v>
      </c>
      <c r="Q24" s="155">
        <v>12600</v>
      </c>
      <c r="R24" s="156">
        <f t="shared" si="5"/>
        <v>7109.5999999999985</v>
      </c>
      <c r="S24" s="155"/>
      <c r="T24" s="155"/>
    </row>
    <row r="25" spans="1:20" ht="17.100000000000001" customHeight="1" x14ac:dyDescent="0.2">
      <c r="A25" s="80">
        <v>5</v>
      </c>
      <c r="B25" s="80" t="s">
        <v>72</v>
      </c>
      <c r="C25" s="107">
        <v>2207</v>
      </c>
      <c r="D25" s="97" t="s">
        <v>49</v>
      </c>
      <c r="E25" s="110">
        <v>1004.23</v>
      </c>
      <c r="F25" s="143">
        <f t="shared" si="9"/>
        <v>33.474333333333334</v>
      </c>
      <c r="G25" s="110"/>
      <c r="H25" s="143">
        <f t="shared" si="13"/>
        <v>0</v>
      </c>
      <c r="I25" s="110">
        <v>69.38</v>
      </c>
      <c r="J25" s="145">
        <f t="shared" si="1"/>
        <v>2.3126666666666664</v>
      </c>
      <c r="K25" s="113"/>
      <c r="L25" s="114"/>
      <c r="M25" s="113"/>
      <c r="N25" s="113"/>
      <c r="O25" s="115">
        <f t="shared" si="14"/>
        <v>1073.6100000000001</v>
      </c>
      <c r="P25" s="113">
        <f t="shared" si="15"/>
        <v>14891.78</v>
      </c>
      <c r="Q25" s="155">
        <v>12600</v>
      </c>
      <c r="R25" s="156">
        <f t="shared" si="5"/>
        <v>2291.7800000000007</v>
      </c>
      <c r="S25" s="155"/>
      <c r="T25" s="155"/>
    </row>
    <row r="26" spans="1:20" ht="18" customHeight="1" x14ac:dyDescent="0.2">
      <c r="A26" s="81"/>
      <c r="B26" s="81"/>
      <c r="C26" s="108"/>
      <c r="D26" s="124" t="s">
        <v>31</v>
      </c>
      <c r="E26" s="116"/>
      <c r="F26" s="117"/>
      <c r="G26" s="148"/>
      <c r="H26" s="117"/>
      <c r="I26" s="116"/>
      <c r="J26" s="146"/>
      <c r="K26" s="116"/>
      <c r="L26" s="117"/>
      <c r="M26" s="116"/>
      <c r="N26" s="116"/>
      <c r="O26" s="118"/>
      <c r="P26" s="116"/>
    </row>
    <row r="27" spans="1:20" ht="17.100000000000001" hidden="1" customHeight="1" x14ac:dyDescent="0.2">
      <c r="A27" s="82">
        <v>6</v>
      </c>
      <c r="B27" s="82" t="s">
        <v>73</v>
      </c>
      <c r="C27" s="109">
        <v>2057</v>
      </c>
      <c r="D27" s="87" t="s">
        <v>91</v>
      </c>
      <c r="E27" s="110">
        <v>707.7</v>
      </c>
      <c r="F27" s="120">
        <f t="shared" ref="F27:F35" si="16">E27/30</f>
        <v>23.59</v>
      </c>
      <c r="G27" s="110"/>
      <c r="H27" s="120"/>
      <c r="I27" s="110">
        <v>89.76</v>
      </c>
      <c r="J27" s="144">
        <f t="shared" ref="J27:J35" si="17">I27/30</f>
        <v>2.992</v>
      </c>
      <c r="K27" s="110">
        <v>34.32</v>
      </c>
      <c r="L27" s="120">
        <f t="shared" ref="L27:L35" si="18">K27/30</f>
        <v>1.1439999999999999</v>
      </c>
      <c r="M27" s="110"/>
      <c r="N27" s="110"/>
      <c r="O27" s="121">
        <f t="shared" ref="O27:O43" si="19">+M27+K27+I27+E27</f>
        <v>831.78000000000009</v>
      </c>
      <c r="P27" s="110">
        <f t="shared" ref="P27:P43" si="20">((E27+M27)*14)+((I27+K27)*12)</f>
        <v>11396.760000000002</v>
      </c>
      <c r="Q27" s="73">
        <v>12600</v>
      </c>
    </row>
    <row r="28" spans="1:20" ht="17.100000000000001" customHeight="1" x14ac:dyDescent="0.2">
      <c r="A28" s="82">
        <v>6</v>
      </c>
      <c r="B28" s="82" t="s">
        <v>73</v>
      </c>
      <c r="C28" s="109">
        <v>2047</v>
      </c>
      <c r="D28" s="87" t="s">
        <v>66</v>
      </c>
      <c r="E28" s="110">
        <v>750</v>
      </c>
      <c r="F28" s="143">
        <f t="shared" si="16"/>
        <v>25</v>
      </c>
      <c r="G28" s="158">
        <v>105.30000000000005</v>
      </c>
      <c r="H28" s="143">
        <f t="shared" ref="H28:H42" si="21">+G28/30</f>
        <v>3.510000000000002</v>
      </c>
      <c r="I28" s="110">
        <v>31.65</v>
      </c>
      <c r="J28" s="145">
        <f t="shared" si="17"/>
        <v>1.0549999999999999</v>
      </c>
      <c r="K28" s="113">
        <v>20.5</v>
      </c>
      <c r="L28" s="143">
        <f t="shared" si="18"/>
        <v>0.68333333333333335</v>
      </c>
      <c r="M28" s="113"/>
      <c r="N28" s="113"/>
      <c r="O28" s="115">
        <f t="shared" ref="O28:O42" si="22">+M28+K28+I28+E28+G28</f>
        <v>907.45</v>
      </c>
      <c r="P28" s="113">
        <f t="shared" ref="P28:P42" si="23">((E28+M28+G28)*14)+((I28+K28)*12)</f>
        <v>12600</v>
      </c>
      <c r="Q28" s="155">
        <v>12600</v>
      </c>
      <c r="R28" s="156">
        <f t="shared" ref="R28:R42" si="24">+P28-Q28</f>
        <v>0</v>
      </c>
      <c r="S28" s="156">
        <f t="shared" ref="S28:S35" si="25">+E28+G28+I28+K28+M28</f>
        <v>907.45</v>
      </c>
      <c r="T28" s="155">
        <f t="shared" ref="T28:T35" si="26">((E28+G28+M28)*14+(I28+K28)*12)</f>
        <v>12600</v>
      </c>
    </row>
    <row r="29" spans="1:20" ht="17.100000000000001" customHeight="1" x14ac:dyDescent="0.2">
      <c r="A29" s="82">
        <v>6</v>
      </c>
      <c r="B29" s="82" t="s">
        <v>72</v>
      </c>
      <c r="C29" s="109">
        <v>2042</v>
      </c>
      <c r="D29" s="87" t="s">
        <v>65</v>
      </c>
      <c r="E29" s="110">
        <v>750</v>
      </c>
      <c r="F29" s="143">
        <f t="shared" si="16"/>
        <v>25</v>
      </c>
      <c r="G29" s="158">
        <v>105.30000000000005</v>
      </c>
      <c r="H29" s="143">
        <f t="shared" si="21"/>
        <v>3.510000000000002</v>
      </c>
      <c r="I29" s="110">
        <v>31.65</v>
      </c>
      <c r="J29" s="145">
        <f t="shared" si="17"/>
        <v>1.0549999999999999</v>
      </c>
      <c r="K29" s="113">
        <v>20.5</v>
      </c>
      <c r="L29" s="143">
        <f t="shared" si="18"/>
        <v>0.68333333333333335</v>
      </c>
      <c r="M29" s="113"/>
      <c r="N29" s="113"/>
      <c r="O29" s="115">
        <f t="shared" si="22"/>
        <v>907.45</v>
      </c>
      <c r="P29" s="113">
        <f t="shared" si="23"/>
        <v>12600</v>
      </c>
      <c r="Q29" s="155">
        <v>12600</v>
      </c>
      <c r="R29" s="156">
        <f t="shared" si="24"/>
        <v>0</v>
      </c>
      <c r="S29" s="156">
        <f t="shared" si="25"/>
        <v>907.45</v>
      </c>
      <c r="T29" s="155">
        <f t="shared" si="26"/>
        <v>12600</v>
      </c>
    </row>
    <row r="30" spans="1:20" ht="17.100000000000001" customHeight="1" x14ac:dyDescent="0.2">
      <c r="A30" s="82">
        <v>6</v>
      </c>
      <c r="B30" s="82" t="s">
        <v>72</v>
      </c>
      <c r="C30" s="109">
        <v>2205</v>
      </c>
      <c r="D30" s="87" t="s">
        <v>33</v>
      </c>
      <c r="E30" s="110">
        <v>750</v>
      </c>
      <c r="F30" s="143">
        <f t="shared" si="16"/>
        <v>25</v>
      </c>
      <c r="G30" s="158">
        <v>105.30000000000005</v>
      </c>
      <c r="H30" s="143">
        <f t="shared" si="21"/>
        <v>3.510000000000002</v>
      </c>
      <c r="I30" s="110">
        <v>31.65</v>
      </c>
      <c r="J30" s="145">
        <f t="shared" si="17"/>
        <v>1.0549999999999999</v>
      </c>
      <c r="K30" s="113">
        <v>20.5</v>
      </c>
      <c r="L30" s="143">
        <f t="shared" si="18"/>
        <v>0.68333333333333335</v>
      </c>
      <c r="M30" s="113"/>
      <c r="N30" s="113"/>
      <c r="O30" s="115">
        <f t="shared" si="22"/>
        <v>907.45</v>
      </c>
      <c r="P30" s="113">
        <f t="shared" si="23"/>
        <v>12600</v>
      </c>
      <c r="Q30" s="155">
        <v>12600</v>
      </c>
      <c r="R30" s="156">
        <f t="shared" si="24"/>
        <v>0</v>
      </c>
      <c r="S30" s="156">
        <f t="shared" si="25"/>
        <v>907.45</v>
      </c>
      <c r="T30" s="155">
        <f t="shared" si="26"/>
        <v>12600</v>
      </c>
    </row>
    <row r="31" spans="1:20" ht="17.100000000000001" customHeight="1" x14ac:dyDescent="0.2">
      <c r="A31" s="82">
        <v>6</v>
      </c>
      <c r="B31" s="82" t="s">
        <v>73</v>
      </c>
      <c r="C31" s="109">
        <v>2046</v>
      </c>
      <c r="D31" s="87" t="s">
        <v>37</v>
      </c>
      <c r="E31" s="110">
        <v>750</v>
      </c>
      <c r="F31" s="143">
        <f t="shared" si="16"/>
        <v>25</v>
      </c>
      <c r="G31" s="158">
        <v>16.422857142857147</v>
      </c>
      <c r="H31" s="143">
        <f t="shared" si="21"/>
        <v>0.5474285714285716</v>
      </c>
      <c r="I31" s="110">
        <v>42</v>
      </c>
      <c r="J31" s="145">
        <f t="shared" si="17"/>
        <v>1.4</v>
      </c>
      <c r="K31" s="113">
        <v>22</v>
      </c>
      <c r="L31" s="143">
        <f t="shared" si="18"/>
        <v>0.73333333333333328</v>
      </c>
      <c r="M31" s="113">
        <v>78.72</v>
      </c>
      <c r="N31" s="143">
        <f>M31/30</f>
        <v>2.6240000000000001</v>
      </c>
      <c r="O31" s="115">
        <f t="shared" si="22"/>
        <v>909.14285714285722</v>
      </c>
      <c r="P31" s="113">
        <f t="shared" si="23"/>
        <v>12600.000000000002</v>
      </c>
      <c r="Q31" s="155">
        <v>12600</v>
      </c>
      <c r="R31" s="156">
        <f t="shared" si="24"/>
        <v>0</v>
      </c>
      <c r="S31" s="156">
        <f t="shared" si="25"/>
        <v>909.14285714285722</v>
      </c>
      <c r="T31" s="155">
        <f t="shared" si="26"/>
        <v>12600.000000000002</v>
      </c>
    </row>
    <row r="32" spans="1:20" ht="17.100000000000001" customHeight="1" x14ac:dyDescent="0.2">
      <c r="A32" s="82">
        <v>6</v>
      </c>
      <c r="B32" s="82" t="s">
        <v>72</v>
      </c>
      <c r="C32" s="109">
        <v>2048</v>
      </c>
      <c r="D32" s="87" t="s">
        <v>106</v>
      </c>
      <c r="E32" s="110">
        <v>750</v>
      </c>
      <c r="F32" s="143">
        <f t="shared" si="16"/>
        <v>25</v>
      </c>
      <c r="G32" s="158">
        <v>105.30000000000005</v>
      </c>
      <c r="H32" s="143">
        <f t="shared" si="21"/>
        <v>3.510000000000002</v>
      </c>
      <c r="I32" s="110">
        <v>31.65</v>
      </c>
      <c r="J32" s="145">
        <f t="shared" si="17"/>
        <v>1.0549999999999999</v>
      </c>
      <c r="K32" s="113">
        <v>20.5</v>
      </c>
      <c r="L32" s="143">
        <f t="shared" si="18"/>
        <v>0.68333333333333335</v>
      </c>
      <c r="M32" s="113"/>
      <c r="N32" s="113"/>
      <c r="O32" s="115">
        <f t="shared" si="22"/>
        <v>907.45</v>
      </c>
      <c r="P32" s="113">
        <f t="shared" si="23"/>
        <v>12600</v>
      </c>
      <c r="Q32" s="155">
        <v>12600</v>
      </c>
      <c r="R32" s="156">
        <f t="shared" si="24"/>
        <v>0</v>
      </c>
      <c r="S32" s="156">
        <f t="shared" si="25"/>
        <v>907.45</v>
      </c>
      <c r="T32" s="155">
        <f t="shared" si="26"/>
        <v>12600</v>
      </c>
    </row>
    <row r="33" spans="1:20" s="138" customFormat="1" ht="17.100000000000001" customHeight="1" x14ac:dyDescent="0.2">
      <c r="A33" s="82">
        <v>6</v>
      </c>
      <c r="B33" s="82" t="s">
        <v>72</v>
      </c>
      <c r="C33" s="109">
        <v>2044</v>
      </c>
      <c r="D33" s="87" t="s">
        <v>76</v>
      </c>
      <c r="E33" s="110">
        <v>750</v>
      </c>
      <c r="F33" s="143">
        <f t="shared" si="16"/>
        <v>25</v>
      </c>
      <c r="G33" s="158">
        <v>105.30000000000005</v>
      </c>
      <c r="H33" s="143">
        <f t="shared" si="21"/>
        <v>3.510000000000002</v>
      </c>
      <c r="I33" s="110">
        <v>31.65</v>
      </c>
      <c r="J33" s="145">
        <f t="shared" si="17"/>
        <v>1.0549999999999999</v>
      </c>
      <c r="K33" s="113">
        <v>20.5</v>
      </c>
      <c r="L33" s="143">
        <f t="shared" si="18"/>
        <v>0.68333333333333335</v>
      </c>
      <c r="M33" s="113"/>
      <c r="N33" s="113"/>
      <c r="O33" s="115">
        <f t="shared" si="22"/>
        <v>907.45</v>
      </c>
      <c r="P33" s="113">
        <f t="shared" si="23"/>
        <v>12600</v>
      </c>
      <c r="Q33" s="155">
        <v>12600</v>
      </c>
      <c r="R33" s="156">
        <f t="shared" si="24"/>
        <v>0</v>
      </c>
      <c r="S33" s="156">
        <f t="shared" si="25"/>
        <v>907.45</v>
      </c>
      <c r="T33" s="155">
        <f t="shared" si="26"/>
        <v>12600</v>
      </c>
    </row>
    <row r="34" spans="1:20" ht="17.100000000000001" hidden="1" customHeight="1" x14ac:dyDescent="0.2">
      <c r="A34" s="82">
        <v>3</v>
      </c>
      <c r="B34" s="82" t="s">
        <v>72</v>
      </c>
      <c r="C34" s="109">
        <v>2510</v>
      </c>
      <c r="D34" s="87" t="s">
        <v>93</v>
      </c>
      <c r="E34" s="110">
        <v>1085.28</v>
      </c>
      <c r="F34" s="143">
        <f t="shared" si="16"/>
        <v>36.176000000000002</v>
      </c>
      <c r="G34" s="158">
        <v>-185.28</v>
      </c>
      <c r="H34" s="143">
        <f t="shared" si="21"/>
        <v>-6.1760000000000002</v>
      </c>
      <c r="I34" s="110">
        <v>0</v>
      </c>
      <c r="J34" s="145">
        <f t="shared" si="17"/>
        <v>0</v>
      </c>
      <c r="K34" s="110">
        <v>0</v>
      </c>
      <c r="L34" s="143">
        <f t="shared" si="18"/>
        <v>0</v>
      </c>
      <c r="M34" s="110"/>
      <c r="N34" s="110"/>
      <c r="O34" s="121">
        <f t="shared" si="22"/>
        <v>900</v>
      </c>
      <c r="P34" s="110">
        <f t="shared" si="23"/>
        <v>12600</v>
      </c>
      <c r="Q34" s="155">
        <v>12600</v>
      </c>
      <c r="R34" s="156">
        <f t="shared" si="24"/>
        <v>0</v>
      </c>
      <c r="S34" s="156">
        <f t="shared" si="25"/>
        <v>900</v>
      </c>
      <c r="T34" s="155">
        <f t="shared" si="26"/>
        <v>12600</v>
      </c>
    </row>
    <row r="35" spans="1:20" ht="17.100000000000001" customHeight="1" x14ac:dyDescent="0.2">
      <c r="A35" s="82">
        <v>6</v>
      </c>
      <c r="B35" s="82" t="s">
        <v>72</v>
      </c>
      <c r="C35" s="109">
        <v>2500</v>
      </c>
      <c r="D35" s="87" t="s">
        <v>77</v>
      </c>
      <c r="E35" s="110">
        <v>750</v>
      </c>
      <c r="F35" s="143">
        <f t="shared" si="16"/>
        <v>25</v>
      </c>
      <c r="G35" s="158">
        <v>105.30000000000005</v>
      </c>
      <c r="H35" s="143">
        <f t="shared" si="21"/>
        <v>3.510000000000002</v>
      </c>
      <c r="I35" s="110">
        <v>31.65</v>
      </c>
      <c r="J35" s="145">
        <f t="shared" si="17"/>
        <v>1.0549999999999999</v>
      </c>
      <c r="K35" s="110">
        <v>20.5</v>
      </c>
      <c r="L35" s="143">
        <f t="shared" si="18"/>
        <v>0.68333333333333335</v>
      </c>
      <c r="M35" s="110"/>
      <c r="N35" s="110"/>
      <c r="O35" s="121">
        <f t="shared" si="22"/>
        <v>907.45</v>
      </c>
      <c r="P35" s="110">
        <f t="shared" si="23"/>
        <v>12600</v>
      </c>
      <c r="Q35" s="155">
        <v>12600</v>
      </c>
      <c r="R35" s="156">
        <f t="shared" si="24"/>
        <v>0</v>
      </c>
      <c r="S35" s="156">
        <f t="shared" si="25"/>
        <v>907.45</v>
      </c>
      <c r="T35" s="155">
        <f t="shared" si="26"/>
        <v>12600</v>
      </c>
    </row>
    <row r="36" spans="1:20" s="138" customFormat="1" ht="17.100000000000001" hidden="1" customHeight="1" x14ac:dyDescent="0.2">
      <c r="A36" s="82">
        <v>7</v>
      </c>
      <c r="B36" s="82" t="s">
        <v>72</v>
      </c>
      <c r="C36" s="109">
        <v>2214</v>
      </c>
      <c r="D36" s="87" t="s">
        <v>92</v>
      </c>
      <c r="E36" s="110">
        <v>1047.3</v>
      </c>
      <c r="F36" s="120"/>
      <c r="G36" s="110">
        <v>-147.29999999999993</v>
      </c>
      <c r="H36" s="120">
        <f t="shared" si="21"/>
        <v>-4.9099999999999975</v>
      </c>
      <c r="I36" s="110">
        <v>0</v>
      </c>
      <c r="J36" s="144"/>
      <c r="K36" s="110">
        <v>0</v>
      </c>
      <c r="L36" s="144"/>
      <c r="M36" s="110"/>
      <c r="N36" s="110"/>
      <c r="O36" s="121">
        <f t="shared" si="22"/>
        <v>900</v>
      </c>
      <c r="P36" s="110">
        <f t="shared" si="23"/>
        <v>12600</v>
      </c>
      <c r="Q36" s="155">
        <v>12600</v>
      </c>
      <c r="R36" s="156">
        <f t="shared" si="24"/>
        <v>0</v>
      </c>
      <c r="S36" s="157"/>
      <c r="T36" s="157"/>
    </row>
    <row r="37" spans="1:20" s="138" customFormat="1" ht="17.100000000000001" hidden="1" customHeight="1" x14ac:dyDescent="0.2">
      <c r="A37" s="82">
        <v>10</v>
      </c>
      <c r="B37" s="82" t="s">
        <v>90</v>
      </c>
      <c r="C37" s="109">
        <v>19906</v>
      </c>
      <c r="D37" s="87" t="s">
        <v>89</v>
      </c>
      <c r="E37" s="110">
        <v>760.35</v>
      </c>
      <c r="F37" s="120"/>
      <c r="G37" s="110">
        <v>84.199999999999946</v>
      </c>
      <c r="H37" s="120">
        <f t="shared" si="21"/>
        <v>2.8066666666666649</v>
      </c>
      <c r="I37" s="110">
        <v>0</v>
      </c>
      <c r="J37" s="144"/>
      <c r="K37" s="110">
        <v>0</v>
      </c>
      <c r="L37" s="144"/>
      <c r="M37" s="110">
        <v>55.45</v>
      </c>
      <c r="N37" s="110"/>
      <c r="O37" s="121">
        <f t="shared" si="22"/>
        <v>900</v>
      </c>
      <c r="P37" s="110">
        <f t="shared" si="23"/>
        <v>12600</v>
      </c>
      <c r="Q37" s="155">
        <v>12600</v>
      </c>
      <c r="R37" s="156">
        <f t="shared" si="24"/>
        <v>0</v>
      </c>
      <c r="S37" s="157"/>
      <c r="T37" s="157"/>
    </row>
    <row r="38" spans="1:20" s="138" customFormat="1" ht="17.100000000000001" customHeight="1" x14ac:dyDescent="0.2">
      <c r="A38" s="82">
        <v>6</v>
      </c>
      <c r="B38" s="82" t="s">
        <v>72</v>
      </c>
      <c r="C38" s="109">
        <v>2053</v>
      </c>
      <c r="D38" s="87" t="s">
        <v>88</v>
      </c>
      <c r="E38" s="110">
        <v>883.79</v>
      </c>
      <c r="F38" s="143">
        <f>E38/30</f>
        <v>29.459666666666667</v>
      </c>
      <c r="G38" s="110"/>
      <c r="H38" s="143">
        <f t="shared" si="21"/>
        <v>0</v>
      </c>
      <c r="I38" s="110">
        <v>79.3</v>
      </c>
      <c r="J38" s="143">
        <f>I38/30</f>
        <v>2.6433333333333331</v>
      </c>
      <c r="K38" s="110">
        <v>57.18</v>
      </c>
      <c r="L38" s="143">
        <f t="shared" ref="L38:L43" si="27">K38/30</f>
        <v>1.9059999999999999</v>
      </c>
      <c r="M38" s="110"/>
      <c r="N38" s="110"/>
      <c r="O38" s="121">
        <f t="shared" si="22"/>
        <v>1020.27</v>
      </c>
      <c r="P38" s="110">
        <f t="shared" si="23"/>
        <v>14010.82</v>
      </c>
      <c r="Q38" s="155">
        <v>12600</v>
      </c>
      <c r="R38" s="156">
        <f t="shared" si="24"/>
        <v>1410.8199999999997</v>
      </c>
      <c r="S38" s="157"/>
      <c r="T38" s="157"/>
    </row>
    <row r="39" spans="1:20" s="138" customFormat="1" ht="17.100000000000001" customHeight="1" x14ac:dyDescent="0.2">
      <c r="A39" s="82">
        <v>6</v>
      </c>
      <c r="B39" s="82" t="s">
        <v>72</v>
      </c>
      <c r="C39" s="109">
        <v>2043</v>
      </c>
      <c r="D39" s="87" t="s">
        <v>36</v>
      </c>
      <c r="E39" s="110">
        <v>750</v>
      </c>
      <c r="F39" s="143">
        <f>E39/30</f>
        <v>25</v>
      </c>
      <c r="G39" s="158">
        <v>105.30000000000005</v>
      </c>
      <c r="H39" s="143">
        <f t="shared" si="21"/>
        <v>3.510000000000002</v>
      </c>
      <c r="I39" s="110">
        <v>31.65</v>
      </c>
      <c r="J39" s="145">
        <f>I39/30</f>
        <v>1.0549999999999999</v>
      </c>
      <c r="K39" s="113">
        <v>20.5</v>
      </c>
      <c r="L39" s="143">
        <f t="shared" si="27"/>
        <v>0.68333333333333335</v>
      </c>
      <c r="M39" s="113"/>
      <c r="N39" s="113"/>
      <c r="O39" s="115">
        <f t="shared" si="22"/>
        <v>907.45</v>
      </c>
      <c r="P39" s="113">
        <f t="shared" si="23"/>
        <v>12600</v>
      </c>
      <c r="Q39" s="155">
        <v>12600</v>
      </c>
      <c r="R39" s="156">
        <f t="shared" si="24"/>
        <v>0</v>
      </c>
      <c r="S39" s="157">
        <f t="shared" ref="S39:S42" si="28">+E39+G39+I39+K39+M39</f>
        <v>907.45</v>
      </c>
      <c r="T39" s="157">
        <f t="shared" ref="T39:T42" si="29">((E39+G39+M39)*14+(I39+K39)*12)</f>
        <v>12600</v>
      </c>
    </row>
    <row r="40" spans="1:20" s="138" customFormat="1" ht="17.100000000000001" hidden="1" customHeight="1" x14ac:dyDescent="0.2">
      <c r="A40" s="82">
        <v>6</v>
      </c>
      <c r="B40" s="82" t="s">
        <v>72</v>
      </c>
      <c r="C40" s="109">
        <v>2045</v>
      </c>
      <c r="D40" s="87" t="s">
        <v>96</v>
      </c>
      <c r="E40" s="110">
        <v>714.15</v>
      </c>
      <c r="F40" s="144">
        <f>E40/30</f>
        <v>23.805</v>
      </c>
      <c r="G40" s="158">
        <v>112.48714285714284</v>
      </c>
      <c r="H40" s="144">
        <f t="shared" si="21"/>
        <v>3.7495714285714281</v>
      </c>
      <c r="I40" s="110">
        <v>57.83</v>
      </c>
      <c r="J40" s="144">
        <f>I40/30</f>
        <v>1.9276666666666666</v>
      </c>
      <c r="K40" s="110">
        <v>27.76</v>
      </c>
      <c r="L40" s="143">
        <f t="shared" si="27"/>
        <v>0.92533333333333334</v>
      </c>
      <c r="M40" s="110"/>
      <c r="N40" s="110"/>
      <c r="O40" s="121">
        <f t="shared" si="22"/>
        <v>912.22714285714289</v>
      </c>
      <c r="P40" s="110">
        <f t="shared" si="23"/>
        <v>12600</v>
      </c>
      <c r="Q40" s="155">
        <v>12600</v>
      </c>
      <c r="R40" s="156">
        <f t="shared" si="24"/>
        <v>0</v>
      </c>
      <c r="S40" s="157">
        <f t="shared" si="28"/>
        <v>912.22714285714289</v>
      </c>
      <c r="T40" s="157">
        <f t="shared" si="29"/>
        <v>12600</v>
      </c>
    </row>
    <row r="41" spans="1:20" s="138" customFormat="1" ht="17.100000000000001" customHeight="1" x14ac:dyDescent="0.2">
      <c r="A41" s="82">
        <v>10</v>
      </c>
      <c r="B41" s="82" t="s">
        <v>72</v>
      </c>
      <c r="C41" s="109">
        <v>2051</v>
      </c>
      <c r="D41" s="87" t="s">
        <v>108</v>
      </c>
      <c r="E41" s="110">
        <v>750</v>
      </c>
      <c r="F41" s="143">
        <f>E41/30</f>
        <v>25</v>
      </c>
      <c r="G41" s="158">
        <v>118.74000000000004</v>
      </c>
      <c r="H41" s="143">
        <f t="shared" si="21"/>
        <v>3.9580000000000011</v>
      </c>
      <c r="I41" s="110">
        <v>36.47</v>
      </c>
      <c r="J41" s="145">
        <f>I41/30</f>
        <v>1.2156666666666667</v>
      </c>
      <c r="K41" s="113">
        <v>0</v>
      </c>
      <c r="L41" s="143">
        <f t="shared" si="27"/>
        <v>0</v>
      </c>
      <c r="M41" s="113"/>
      <c r="N41" s="113"/>
      <c r="O41" s="115">
        <f t="shared" si="22"/>
        <v>905.21</v>
      </c>
      <c r="P41" s="113">
        <f t="shared" si="23"/>
        <v>12600</v>
      </c>
      <c r="Q41" s="155">
        <v>12600</v>
      </c>
      <c r="R41" s="156">
        <f t="shared" si="24"/>
        <v>0</v>
      </c>
      <c r="S41" s="157">
        <f t="shared" si="28"/>
        <v>905.21</v>
      </c>
      <c r="T41" s="157">
        <f t="shared" si="29"/>
        <v>12600</v>
      </c>
    </row>
    <row r="42" spans="1:20" s="138" customFormat="1" ht="17.100000000000001" customHeight="1" x14ac:dyDescent="0.2">
      <c r="A42" s="82">
        <v>7</v>
      </c>
      <c r="B42" s="82" t="s">
        <v>72</v>
      </c>
      <c r="C42" s="109">
        <v>2209</v>
      </c>
      <c r="D42" s="87" t="s">
        <v>107</v>
      </c>
      <c r="E42" s="110">
        <v>750</v>
      </c>
      <c r="F42" s="143">
        <f>E42/30</f>
        <v>25</v>
      </c>
      <c r="G42" s="158">
        <v>105.30000000000005</v>
      </c>
      <c r="H42" s="143">
        <f t="shared" si="21"/>
        <v>3.510000000000002</v>
      </c>
      <c r="I42" s="110">
        <v>31.65</v>
      </c>
      <c r="J42" s="145">
        <f>I42/30</f>
        <v>1.0549999999999999</v>
      </c>
      <c r="K42" s="113">
        <v>20.5</v>
      </c>
      <c r="L42" s="143">
        <f t="shared" si="27"/>
        <v>0.68333333333333335</v>
      </c>
      <c r="M42" s="113"/>
      <c r="N42" s="113"/>
      <c r="O42" s="115">
        <f t="shared" si="22"/>
        <v>907.45</v>
      </c>
      <c r="P42" s="113">
        <f t="shared" si="23"/>
        <v>12600</v>
      </c>
      <c r="Q42" s="155">
        <v>12600</v>
      </c>
      <c r="R42" s="156">
        <f t="shared" si="24"/>
        <v>0</v>
      </c>
      <c r="S42" s="157">
        <f t="shared" si="28"/>
        <v>907.45</v>
      </c>
      <c r="T42" s="157">
        <f t="shared" si="29"/>
        <v>12600</v>
      </c>
    </row>
    <row r="43" spans="1:20" ht="17.100000000000001" hidden="1" customHeight="1" x14ac:dyDescent="0.2">
      <c r="A43" s="82">
        <v>7</v>
      </c>
      <c r="B43" s="82" t="s">
        <v>72</v>
      </c>
      <c r="C43" s="109">
        <v>2215</v>
      </c>
      <c r="D43" s="87" t="s">
        <v>95</v>
      </c>
      <c r="E43" s="110">
        <v>946.91</v>
      </c>
      <c r="F43" s="120"/>
      <c r="G43" s="110"/>
      <c r="H43" s="120"/>
      <c r="I43" s="110">
        <v>0</v>
      </c>
      <c r="J43" s="120"/>
      <c r="K43" s="110">
        <v>0</v>
      </c>
      <c r="L43" s="120">
        <f t="shared" si="27"/>
        <v>0</v>
      </c>
      <c r="M43" s="110"/>
      <c r="N43" s="110"/>
      <c r="O43" s="121">
        <f t="shared" si="19"/>
        <v>946.91</v>
      </c>
      <c r="P43" s="110">
        <f t="shared" si="20"/>
        <v>13256.74</v>
      </c>
    </row>
    <row r="44" spans="1:20" x14ac:dyDescent="0.2">
      <c r="A44" s="139"/>
      <c r="B44" s="139"/>
      <c r="G44" s="149"/>
    </row>
    <row r="45" spans="1:20" ht="23.25" customHeight="1" x14ac:dyDescent="0.2">
      <c r="A45" s="129" t="s">
        <v>78</v>
      </c>
      <c r="B45" s="89"/>
      <c r="C45" s="125"/>
      <c r="D45" s="126"/>
      <c r="E45" s="128"/>
      <c r="F45" s="128"/>
      <c r="G45" s="150"/>
      <c r="H45" s="128"/>
      <c r="I45" s="186" t="s">
        <v>103</v>
      </c>
      <c r="J45" s="186"/>
      <c r="K45" s="186"/>
      <c r="L45" s="186"/>
      <c r="M45" s="186"/>
      <c r="N45" s="186"/>
      <c r="O45" s="186"/>
    </row>
    <row r="46" spans="1:20" ht="12.95" customHeight="1" x14ac:dyDescent="0.2">
      <c r="A46" s="98" t="s">
        <v>79</v>
      </c>
      <c r="B46" s="99"/>
      <c r="C46" s="99"/>
      <c r="D46" s="99"/>
      <c r="E46" s="104" t="s">
        <v>80</v>
      </c>
      <c r="F46" s="88"/>
      <c r="G46" s="151"/>
      <c r="H46" s="147"/>
      <c r="I46" s="189" t="s">
        <v>97</v>
      </c>
      <c r="J46" s="190"/>
      <c r="K46" s="190"/>
      <c r="L46" s="190"/>
      <c r="M46" s="190"/>
      <c r="N46" s="190"/>
      <c r="O46" s="190"/>
      <c r="P46" s="95">
        <v>0.7</v>
      </c>
    </row>
    <row r="47" spans="1:20" ht="12.95" customHeight="1" x14ac:dyDescent="0.2">
      <c r="A47" s="100" t="s">
        <v>81</v>
      </c>
      <c r="B47" s="101"/>
      <c r="C47" s="101"/>
      <c r="D47" s="101"/>
      <c r="E47" s="105" t="s">
        <v>82</v>
      </c>
      <c r="F47" s="88"/>
      <c r="G47" s="152"/>
      <c r="H47" s="90"/>
      <c r="I47" s="187" t="s">
        <v>98</v>
      </c>
      <c r="J47" s="188"/>
      <c r="K47" s="188"/>
      <c r="L47" s="188"/>
      <c r="M47" s="188"/>
      <c r="N47" s="188"/>
      <c r="O47" s="188"/>
      <c r="P47" s="96">
        <v>0.2</v>
      </c>
    </row>
    <row r="48" spans="1:20" ht="12.95" customHeight="1" x14ac:dyDescent="0.2">
      <c r="A48" s="100" t="s">
        <v>83</v>
      </c>
      <c r="B48" s="101"/>
      <c r="C48" s="101"/>
      <c r="D48" s="101"/>
      <c r="E48" s="105" t="s">
        <v>84</v>
      </c>
      <c r="F48" s="88"/>
      <c r="G48" s="152"/>
      <c r="H48" s="90"/>
      <c r="I48" s="187" t="s">
        <v>99</v>
      </c>
      <c r="J48" s="188"/>
      <c r="K48" s="188"/>
      <c r="L48" s="188"/>
      <c r="M48" s="188"/>
      <c r="N48" s="188"/>
      <c r="O48" s="188"/>
      <c r="P48" s="96">
        <v>0.23</v>
      </c>
    </row>
    <row r="49" spans="1:16" ht="12.95" customHeight="1" x14ac:dyDescent="0.2">
      <c r="A49" s="100" t="s">
        <v>85</v>
      </c>
      <c r="B49" s="101"/>
      <c r="C49" s="101"/>
      <c r="D49" s="101"/>
      <c r="E49" s="105" t="s">
        <v>86</v>
      </c>
      <c r="F49" s="88"/>
      <c r="G49" s="152"/>
      <c r="H49" s="90"/>
      <c r="I49" s="187" t="s">
        <v>100</v>
      </c>
      <c r="J49" s="188"/>
      <c r="K49" s="188"/>
      <c r="L49" s="188"/>
      <c r="M49" s="188"/>
      <c r="N49" s="188"/>
      <c r="O49" s="188"/>
      <c r="P49" s="96">
        <v>118.96</v>
      </c>
    </row>
    <row r="50" spans="1:16" ht="12.95" customHeight="1" x14ac:dyDescent="0.2">
      <c r="A50" s="102" t="s">
        <v>104</v>
      </c>
      <c r="B50" s="103"/>
      <c r="C50" s="103"/>
      <c r="D50" s="103"/>
      <c r="E50" s="106" t="s">
        <v>87</v>
      </c>
      <c r="F50" s="88"/>
      <c r="G50" s="152"/>
      <c r="H50" s="90"/>
      <c r="I50" s="187" t="s">
        <v>105</v>
      </c>
      <c r="J50" s="188"/>
      <c r="K50" s="188"/>
      <c r="L50" s="188"/>
      <c r="M50" s="188"/>
      <c r="N50" s="188"/>
      <c r="O50" s="188"/>
      <c r="P50" s="96">
        <v>116.39</v>
      </c>
    </row>
    <row r="51" spans="1:16" ht="12.95" customHeight="1" x14ac:dyDescent="0.2">
      <c r="A51" s="91"/>
      <c r="B51" s="91"/>
      <c r="C51" s="91"/>
      <c r="D51" s="90"/>
      <c r="E51" s="90"/>
      <c r="F51" s="88"/>
      <c r="G51" s="152"/>
      <c r="H51" s="90"/>
      <c r="I51" s="187" t="s">
        <v>101</v>
      </c>
      <c r="J51" s="188"/>
      <c r="K51" s="188"/>
      <c r="L51" s="188"/>
      <c r="M51" s="188"/>
      <c r="N51" s="188"/>
      <c r="O51" s="188"/>
      <c r="P51" s="96">
        <v>102.21</v>
      </c>
    </row>
    <row r="52" spans="1:16" ht="12.95" customHeight="1" x14ac:dyDescent="0.2">
      <c r="A52" s="140"/>
      <c r="B52" s="140"/>
      <c r="C52" s="141"/>
      <c r="D52" s="90"/>
      <c r="E52" s="90"/>
      <c r="I52" s="191" t="s">
        <v>102</v>
      </c>
      <c r="J52" s="192"/>
      <c r="K52" s="192"/>
      <c r="L52" s="192"/>
      <c r="M52" s="192"/>
      <c r="N52" s="192"/>
      <c r="O52" s="192"/>
      <c r="P52" s="134">
        <v>47.9</v>
      </c>
    </row>
    <row r="53" spans="1:16" ht="15" customHeight="1" x14ac:dyDescent="0.2">
      <c r="A53" s="139"/>
      <c r="B53" s="139"/>
    </row>
    <row r="54" spans="1:16" ht="15" customHeight="1" x14ac:dyDescent="0.2"/>
    <row r="55" spans="1:16" ht="15" customHeight="1" x14ac:dyDescent="0.2">
      <c r="P55" s="142"/>
    </row>
    <row r="56" spans="1:16" x14ac:dyDescent="0.2">
      <c r="P56" s="142"/>
    </row>
    <row r="57" spans="1:16" x14ac:dyDescent="0.2">
      <c r="P57" s="142"/>
    </row>
    <row r="58" spans="1:16" x14ac:dyDescent="0.2">
      <c r="P58" s="142"/>
    </row>
  </sheetData>
  <sheetProtection selectLockedCells="1" selectUnlockedCells="1"/>
  <autoFilter ref="A3:P53" xr:uid="{00000000-0009-0000-0000-000009000000}"/>
  <mergeCells count="9">
    <mergeCell ref="I51:O51"/>
    <mergeCell ref="I52:O52"/>
    <mergeCell ref="S3:T3"/>
    <mergeCell ref="I45:O45"/>
    <mergeCell ref="I46:O46"/>
    <mergeCell ref="I47:O47"/>
    <mergeCell ref="I48:O48"/>
    <mergeCell ref="I49:O49"/>
    <mergeCell ref="I50:O50"/>
  </mergeCells>
  <printOptions horizontalCentered="1"/>
  <pageMargins left="0.15748031496062992" right="0.15748031496062992" top="1.27" bottom="0.15748031496062992" header="0.49" footer="0.15748031496062992"/>
  <pageSetup paperSize="9" scale="86" orientation="portrait" r:id="rId1"/>
  <headerFooter alignWithMargins="0">
    <oddHeader>&amp;C&amp;"Calibri,Negrita"&amp;12&amp;ETABLA SALARIAL CONVENIO SERVICIOS SECURITAS, S.A. 2019</oddHeader>
  </headerFooter>
  <rowBreaks count="1" manualBreakCount="1">
    <brk id="43" max="16383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A2C6D-573D-412C-930C-A8FED64C5474}">
  <sheetPr>
    <pageSetUpPr fitToPage="1"/>
  </sheetPr>
  <dimension ref="A1:AG58"/>
  <sheetViews>
    <sheetView zoomScaleNormal="100" workbookViewId="0">
      <pane ySplit="3" topLeftCell="A31" activePane="bottomLeft" state="frozen"/>
      <selection pane="bottomLeft" activeCell="D7" sqref="D7"/>
    </sheetView>
  </sheetViews>
  <sheetFormatPr baseColWidth="10" defaultColWidth="10.140625" defaultRowHeight="12.75" x14ac:dyDescent="0.2"/>
  <cols>
    <col min="1" max="1" width="6.42578125" style="136" bestFit="1" customWidth="1"/>
    <col min="2" max="2" width="6.42578125" style="136" customWidth="1"/>
    <col min="3" max="3" width="9.7109375" style="136" bestFit="1" customWidth="1"/>
    <col min="4" max="4" width="42.28515625" style="73" bestFit="1" customWidth="1"/>
    <col min="5" max="5" width="8" style="73" customWidth="1"/>
    <col min="6" max="6" width="10.7109375" style="73" hidden="1" customWidth="1"/>
    <col min="7" max="7" width="9.7109375" style="73" hidden="1" customWidth="1"/>
    <col min="8" max="8" width="7.140625" style="73" customWidth="1"/>
    <col min="9" max="9" width="9.85546875" style="73" hidden="1" customWidth="1"/>
    <col min="10" max="10" width="6.42578125" style="73" customWidth="1"/>
    <col min="11" max="11" width="10.7109375" style="73" hidden="1" customWidth="1"/>
    <col min="12" max="12" width="7.28515625" style="73" customWidth="1"/>
    <col min="13" max="13" width="10.7109375" style="73" hidden="1" customWidth="1"/>
    <col min="14" max="14" width="7.7109375" style="73" customWidth="1"/>
    <col min="15" max="15" width="8.5703125" style="73" customWidth="1"/>
    <col min="16" max="16" width="7.5703125" style="73" hidden="1" customWidth="1"/>
    <col min="17" max="17" width="11.5703125" style="73" hidden="1" customWidth="1"/>
    <col min="18" max="18" width="8.85546875" style="73" hidden="1" customWidth="1"/>
    <col min="19" max="19" width="6.85546875" style="73" hidden="1" customWidth="1"/>
    <col min="20" max="20" width="2" style="73" customWidth="1"/>
    <col min="21" max="21" width="7.85546875" style="73" bestFit="1" customWidth="1"/>
    <col min="22" max="22" width="9.42578125" style="73" hidden="1" customWidth="1"/>
    <col min="23" max="23" width="6.42578125" style="73" bestFit="1" customWidth="1"/>
    <col min="24" max="24" width="8.42578125" style="73" hidden="1" customWidth="1"/>
    <col min="25" max="25" width="7.85546875" style="73" customWidth="1"/>
    <col min="26" max="26" width="8.5703125" style="73" customWidth="1"/>
    <col min="27" max="27" width="10.140625" style="73"/>
    <col min="28" max="28" width="7" style="73" bestFit="1" customWidth="1"/>
    <col min="29" max="16384" width="10.140625" style="73"/>
  </cols>
  <sheetData>
    <row r="1" spans="1:33" s="169" customFormat="1" ht="30" customHeight="1" x14ac:dyDescent="0.25">
      <c r="A1" s="167" t="s">
        <v>114</v>
      </c>
      <c r="B1" s="168"/>
      <c r="C1" s="168"/>
    </row>
    <row r="2" spans="1:33" s="165" customFormat="1" ht="30" customHeight="1" x14ac:dyDescent="0.2">
      <c r="A2" s="164"/>
      <c r="B2" s="164"/>
      <c r="C2" s="164"/>
      <c r="E2" s="194" t="s">
        <v>117</v>
      </c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66"/>
      <c r="Q2" s="166"/>
      <c r="R2" s="166"/>
      <c r="S2" s="166"/>
      <c r="T2" s="166"/>
      <c r="U2" s="194" t="s">
        <v>118</v>
      </c>
      <c r="V2" s="194"/>
      <c r="W2" s="194"/>
      <c r="X2" s="194"/>
      <c r="Y2" s="194"/>
      <c r="Z2" s="194"/>
    </row>
    <row r="3" spans="1:33" s="137" customFormat="1" ht="39.75" customHeight="1" x14ac:dyDescent="0.2">
      <c r="A3" s="130" t="s">
        <v>69</v>
      </c>
      <c r="B3" s="130" t="s">
        <v>70</v>
      </c>
      <c r="C3" s="130" t="s">
        <v>0</v>
      </c>
      <c r="D3" s="131" t="s">
        <v>1</v>
      </c>
      <c r="E3" s="132" t="s">
        <v>2</v>
      </c>
      <c r="F3" s="74">
        <v>110021</v>
      </c>
      <c r="G3" s="74">
        <v>122520</v>
      </c>
      <c r="H3" s="132" t="s">
        <v>3</v>
      </c>
      <c r="I3" s="75">
        <v>15220</v>
      </c>
      <c r="J3" s="132" t="s">
        <v>4</v>
      </c>
      <c r="K3" s="75">
        <v>116220</v>
      </c>
      <c r="L3" s="132" t="s">
        <v>5</v>
      </c>
      <c r="M3" s="74">
        <v>117520</v>
      </c>
      <c r="N3" s="131" t="s">
        <v>62</v>
      </c>
      <c r="O3" s="132" t="s">
        <v>63</v>
      </c>
      <c r="P3" s="159" t="s">
        <v>111</v>
      </c>
      <c r="Q3" s="154" t="s">
        <v>112</v>
      </c>
      <c r="R3" s="193" t="s">
        <v>113</v>
      </c>
      <c r="S3" s="193"/>
      <c r="U3" s="132" t="s">
        <v>2</v>
      </c>
      <c r="V3" s="74">
        <v>110021</v>
      </c>
      <c r="W3" s="132" t="s">
        <v>5</v>
      </c>
      <c r="X3" s="74">
        <v>117520</v>
      </c>
      <c r="Y3" s="131" t="s">
        <v>62</v>
      </c>
      <c r="Z3" s="132" t="s">
        <v>63</v>
      </c>
    </row>
    <row r="4" spans="1:33" ht="18" customHeight="1" x14ac:dyDescent="0.2">
      <c r="A4" s="76"/>
      <c r="B4" s="76"/>
      <c r="C4" s="76"/>
      <c r="D4" s="123" t="s">
        <v>13</v>
      </c>
      <c r="E4" s="77"/>
      <c r="F4" s="78"/>
      <c r="G4" s="78"/>
      <c r="H4" s="77"/>
      <c r="I4" s="78"/>
      <c r="J4" s="77"/>
      <c r="K4" s="78"/>
      <c r="L4" s="77"/>
      <c r="M4" s="77"/>
      <c r="N4" s="77"/>
      <c r="O4" s="77"/>
      <c r="U4" s="77"/>
      <c r="V4" s="78"/>
      <c r="W4" s="77"/>
      <c r="X4" s="77"/>
      <c r="Y4" s="77"/>
      <c r="Z4" s="77"/>
    </row>
    <row r="5" spans="1:33" ht="15" customHeight="1" x14ac:dyDescent="0.2">
      <c r="A5" s="80">
        <v>1</v>
      </c>
      <c r="B5" s="80" t="s">
        <v>71</v>
      </c>
      <c r="C5" s="107">
        <v>2102</v>
      </c>
      <c r="D5" s="97" t="s">
        <v>14</v>
      </c>
      <c r="E5" s="110">
        <v>1559.8</v>
      </c>
      <c r="F5" s="143">
        <f t="shared" ref="F5:F19" si="0">E5/30</f>
        <v>51.993333333333332</v>
      </c>
      <c r="G5" s="143" t="e">
        <f>+#REF!/30</f>
        <v>#REF!</v>
      </c>
      <c r="H5" s="110">
        <v>69.38</v>
      </c>
      <c r="I5" s="145">
        <f t="shared" ref="I5:I25" si="1">H5/30</f>
        <v>2.3126666666666664</v>
      </c>
      <c r="J5" s="113"/>
      <c r="K5" s="114"/>
      <c r="L5" s="113"/>
      <c r="M5" s="113"/>
      <c r="N5" s="115">
        <f t="shared" ref="N5:N12" si="2">+L5+J5+H5+E5</f>
        <v>1629.1799999999998</v>
      </c>
      <c r="O5" s="113">
        <f t="shared" ref="O5:O12" si="3">((E5+L5)*14)+((H5+J5)*12)</f>
        <v>22669.760000000002</v>
      </c>
      <c r="P5" s="155">
        <v>12600</v>
      </c>
      <c r="Q5" s="156">
        <f>+O5-P5</f>
        <v>10069.760000000002</v>
      </c>
      <c r="R5" s="155"/>
      <c r="S5" s="155"/>
      <c r="U5" s="110">
        <v>1619.27</v>
      </c>
      <c r="V5" s="143">
        <f t="shared" ref="V5:V12" si="4">U5/30</f>
        <v>53.975666666666669</v>
      </c>
      <c r="W5" s="113"/>
      <c r="X5" s="113"/>
      <c r="Y5" s="115">
        <f t="shared" ref="Y5:Y12" si="5">+U5+W5</f>
        <v>1619.27</v>
      </c>
      <c r="Z5" s="113">
        <f>+Y5*14</f>
        <v>22669.78</v>
      </c>
      <c r="AC5" s="142"/>
      <c r="AD5" s="142"/>
      <c r="AF5" s="142"/>
      <c r="AG5" s="142"/>
    </row>
    <row r="6" spans="1:33" ht="15" customHeight="1" x14ac:dyDescent="0.2">
      <c r="A6" s="80">
        <v>1</v>
      </c>
      <c r="B6" s="80" t="s">
        <v>71</v>
      </c>
      <c r="C6" s="107">
        <v>2105</v>
      </c>
      <c r="D6" s="97" t="s">
        <v>15</v>
      </c>
      <c r="E6" s="110">
        <v>1483.11</v>
      </c>
      <c r="F6" s="143">
        <f t="shared" si="0"/>
        <v>49.436999999999998</v>
      </c>
      <c r="G6" s="143" t="e">
        <f>+#REF!/30</f>
        <v>#REF!</v>
      </c>
      <c r="H6" s="110">
        <v>69.38</v>
      </c>
      <c r="I6" s="145">
        <f t="shared" si="1"/>
        <v>2.3126666666666664</v>
      </c>
      <c r="J6" s="113"/>
      <c r="K6" s="114"/>
      <c r="L6" s="113"/>
      <c r="M6" s="113"/>
      <c r="N6" s="115">
        <f t="shared" si="2"/>
        <v>1552.4899999999998</v>
      </c>
      <c r="O6" s="113">
        <f t="shared" si="3"/>
        <v>21596.1</v>
      </c>
      <c r="P6" s="155">
        <v>12600</v>
      </c>
      <c r="Q6" s="156">
        <f t="shared" ref="Q6:Q25" si="6">+O6-P6</f>
        <v>8996.0999999999985</v>
      </c>
      <c r="R6" s="155"/>
      <c r="S6" s="155"/>
      <c r="U6" s="110">
        <v>1542.58</v>
      </c>
      <c r="V6" s="143">
        <f t="shared" si="4"/>
        <v>51.419333333333334</v>
      </c>
      <c r="W6" s="113"/>
      <c r="X6" s="113"/>
      <c r="Y6" s="115">
        <f t="shared" si="5"/>
        <v>1542.58</v>
      </c>
      <c r="Z6" s="113">
        <f t="shared" ref="Z6:Z25" si="7">+Y6*14</f>
        <v>21596.12</v>
      </c>
    </row>
    <row r="7" spans="1:33" ht="15" customHeight="1" x14ac:dyDescent="0.2">
      <c r="A7" s="80">
        <v>1</v>
      </c>
      <c r="B7" s="80" t="s">
        <v>71</v>
      </c>
      <c r="C7" s="107">
        <v>2109</v>
      </c>
      <c r="D7" s="97" t="s">
        <v>16</v>
      </c>
      <c r="E7" s="110">
        <v>1483.11</v>
      </c>
      <c r="F7" s="143">
        <f t="shared" si="0"/>
        <v>49.436999999999998</v>
      </c>
      <c r="G7" s="143" t="e">
        <f>+#REF!/30</f>
        <v>#REF!</v>
      </c>
      <c r="H7" s="110">
        <v>69.38</v>
      </c>
      <c r="I7" s="145">
        <f t="shared" si="1"/>
        <v>2.3126666666666664</v>
      </c>
      <c r="J7" s="113"/>
      <c r="K7" s="114"/>
      <c r="L7" s="113"/>
      <c r="M7" s="113"/>
      <c r="N7" s="115">
        <f t="shared" si="2"/>
        <v>1552.4899999999998</v>
      </c>
      <c r="O7" s="113">
        <f t="shared" si="3"/>
        <v>21596.1</v>
      </c>
      <c r="P7" s="155">
        <v>12600</v>
      </c>
      <c r="Q7" s="156">
        <f t="shared" si="6"/>
        <v>8996.0999999999985</v>
      </c>
      <c r="R7" s="155"/>
      <c r="S7" s="155"/>
      <c r="U7" s="110">
        <v>1542.58</v>
      </c>
      <c r="V7" s="143">
        <f t="shared" si="4"/>
        <v>51.419333333333334</v>
      </c>
      <c r="W7" s="113"/>
      <c r="X7" s="113"/>
      <c r="Y7" s="115">
        <f t="shared" si="5"/>
        <v>1542.58</v>
      </c>
      <c r="Z7" s="113">
        <f t="shared" si="7"/>
        <v>21596.12</v>
      </c>
    </row>
    <row r="8" spans="1:33" ht="15" customHeight="1" x14ac:dyDescent="0.2">
      <c r="A8" s="80">
        <v>1</v>
      </c>
      <c r="B8" s="80" t="s">
        <v>71</v>
      </c>
      <c r="C8" s="107">
        <v>2103</v>
      </c>
      <c r="D8" s="97" t="s">
        <v>46</v>
      </c>
      <c r="E8" s="110">
        <v>1483.11</v>
      </c>
      <c r="F8" s="143">
        <f t="shared" si="0"/>
        <v>49.436999999999998</v>
      </c>
      <c r="G8" s="143" t="e">
        <f>+#REF!/30</f>
        <v>#REF!</v>
      </c>
      <c r="H8" s="110">
        <v>69.38</v>
      </c>
      <c r="I8" s="145">
        <f t="shared" si="1"/>
        <v>2.3126666666666664</v>
      </c>
      <c r="J8" s="113"/>
      <c r="K8" s="114"/>
      <c r="L8" s="113"/>
      <c r="M8" s="113"/>
      <c r="N8" s="115">
        <f t="shared" si="2"/>
        <v>1552.4899999999998</v>
      </c>
      <c r="O8" s="113">
        <f t="shared" si="3"/>
        <v>21596.1</v>
      </c>
      <c r="P8" s="155">
        <v>12600</v>
      </c>
      <c r="Q8" s="156">
        <f t="shared" si="6"/>
        <v>8996.0999999999985</v>
      </c>
      <c r="R8" s="155"/>
      <c r="S8" s="155"/>
      <c r="U8" s="110">
        <v>1542.58</v>
      </c>
      <c r="V8" s="143">
        <f t="shared" si="4"/>
        <v>51.419333333333334</v>
      </c>
      <c r="W8" s="113"/>
      <c r="X8" s="113"/>
      <c r="Y8" s="115">
        <f t="shared" si="5"/>
        <v>1542.58</v>
      </c>
      <c r="Z8" s="113">
        <f t="shared" si="7"/>
        <v>21596.12</v>
      </c>
    </row>
    <row r="9" spans="1:33" ht="15" customHeight="1" x14ac:dyDescent="0.2">
      <c r="A9" s="80">
        <v>3</v>
      </c>
      <c r="B9" s="80" t="s">
        <v>71</v>
      </c>
      <c r="C9" s="107">
        <v>2122</v>
      </c>
      <c r="D9" s="97" t="s">
        <v>17</v>
      </c>
      <c r="E9" s="110">
        <v>1410.41</v>
      </c>
      <c r="F9" s="143">
        <f t="shared" si="0"/>
        <v>47.013666666666673</v>
      </c>
      <c r="G9" s="143" t="e">
        <f>+#REF!/30</f>
        <v>#REF!</v>
      </c>
      <c r="H9" s="110">
        <v>69.38</v>
      </c>
      <c r="I9" s="145">
        <f t="shared" si="1"/>
        <v>2.3126666666666664</v>
      </c>
      <c r="J9" s="113"/>
      <c r="K9" s="114"/>
      <c r="L9" s="113"/>
      <c r="M9" s="113"/>
      <c r="N9" s="115">
        <f t="shared" si="2"/>
        <v>1479.79</v>
      </c>
      <c r="O9" s="113">
        <f t="shared" si="3"/>
        <v>20578.300000000003</v>
      </c>
      <c r="P9" s="155">
        <v>12600</v>
      </c>
      <c r="Q9" s="156">
        <f t="shared" si="6"/>
        <v>7978.3000000000029</v>
      </c>
      <c r="R9" s="155"/>
      <c r="S9" s="155"/>
      <c r="U9" s="110">
        <v>1469.88</v>
      </c>
      <c r="V9" s="143">
        <f t="shared" si="4"/>
        <v>48.996000000000002</v>
      </c>
      <c r="W9" s="113"/>
      <c r="X9" s="113"/>
      <c r="Y9" s="115">
        <f t="shared" si="5"/>
        <v>1469.88</v>
      </c>
      <c r="Z9" s="113">
        <f t="shared" si="7"/>
        <v>20578.32</v>
      </c>
    </row>
    <row r="10" spans="1:33" ht="15" customHeight="1" x14ac:dyDescent="0.2">
      <c r="A10" s="80">
        <v>1</v>
      </c>
      <c r="B10" s="80" t="s">
        <v>71</v>
      </c>
      <c r="C10" s="107">
        <v>2126</v>
      </c>
      <c r="D10" s="97" t="s">
        <v>47</v>
      </c>
      <c r="E10" s="110">
        <v>1410.41</v>
      </c>
      <c r="F10" s="143">
        <f t="shared" si="0"/>
        <v>47.013666666666673</v>
      </c>
      <c r="G10" s="143" t="e">
        <f>+#REF!/30</f>
        <v>#REF!</v>
      </c>
      <c r="H10" s="110">
        <v>69.38</v>
      </c>
      <c r="I10" s="145">
        <f t="shared" si="1"/>
        <v>2.3126666666666664</v>
      </c>
      <c r="J10" s="113"/>
      <c r="K10" s="114"/>
      <c r="L10" s="113"/>
      <c r="M10" s="113"/>
      <c r="N10" s="115">
        <f t="shared" si="2"/>
        <v>1479.79</v>
      </c>
      <c r="O10" s="113">
        <f t="shared" si="3"/>
        <v>20578.300000000003</v>
      </c>
      <c r="P10" s="155">
        <v>12600</v>
      </c>
      <c r="Q10" s="156">
        <f t="shared" si="6"/>
        <v>7978.3000000000029</v>
      </c>
      <c r="R10" s="155"/>
      <c r="S10" s="155"/>
      <c r="U10" s="110">
        <v>1469.88</v>
      </c>
      <c r="V10" s="143">
        <f t="shared" si="4"/>
        <v>48.996000000000002</v>
      </c>
      <c r="W10" s="113"/>
      <c r="X10" s="113"/>
      <c r="Y10" s="115">
        <f t="shared" si="5"/>
        <v>1469.88</v>
      </c>
      <c r="Z10" s="113">
        <f t="shared" si="7"/>
        <v>20578.32</v>
      </c>
    </row>
    <row r="11" spans="1:33" ht="15" customHeight="1" x14ac:dyDescent="0.2">
      <c r="A11" s="80">
        <v>1</v>
      </c>
      <c r="B11" s="80" t="s">
        <v>71</v>
      </c>
      <c r="C11" s="107">
        <v>2113</v>
      </c>
      <c r="D11" s="97" t="s">
        <v>18</v>
      </c>
      <c r="E11" s="110">
        <v>1410.41</v>
      </c>
      <c r="F11" s="143">
        <f t="shared" si="0"/>
        <v>47.013666666666673</v>
      </c>
      <c r="G11" s="143" t="e">
        <f>+#REF!/30</f>
        <v>#REF!</v>
      </c>
      <c r="H11" s="110">
        <v>69.38</v>
      </c>
      <c r="I11" s="145">
        <f t="shared" si="1"/>
        <v>2.3126666666666664</v>
      </c>
      <c r="J11" s="113"/>
      <c r="K11" s="114"/>
      <c r="L11" s="113"/>
      <c r="M11" s="113"/>
      <c r="N11" s="115">
        <f t="shared" si="2"/>
        <v>1479.79</v>
      </c>
      <c r="O11" s="113">
        <f t="shared" si="3"/>
        <v>20578.300000000003</v>
      </c>
      <c r="P11" s="155">
        <v>12600</v>
      </c>
      <c r="Q11" s="156">
        <f t="shared" si="6"/>
        <v>7978.3000000000029</v>
      </c>
      <c r="R11" s="155"/>
      <c r="S11" s="155"/>
      <c r="U11" s="110">
        <v>1469.88</v>
      </c>
      <c r="V11" s="143">
        <f t="shared" si="4"/>
        <v>48.996000000000002</v>
      </c>
      <c r="W11" s="113"/>
      <c r="X11" s="113"/>
      <c r="Y11" s="115">
        <f t="shared" si="5"/>
        <v>1469.88</v>
      </c>
      <c r="Z11" s="113">
        <f t="shared" si="7"/>
        <v>20578.32</v>
      </c>
    </row>
    <row r="12" spans="1:33" ht="15" customHeight="1" x14ac:dyDescent="0.2">
      <c r="A12" s="80">
        <v>2</v>
      </c>
      <c r="B12" s="80" t="s">
        <v>71</v>
      </c>
      <c r="C12" s="107">
        <v>2114</v>
      </c>
      <c r="D12" s="97" t="s">
        <v>19</v>
      </c>
      <c r="E12" s="110">
        <v>1341.37</v>
      </c>
      <c r="F12" s="143">
        <f t="shared" si="0"/>
        <v>44.712333333333326</v>
      </c>
      <c r="G12" s="143" t="e">
        <f>+#REF!/30</f>
        <v>#REF!</v>
      </c>
      <c r="H12" s="110">
        <v>69.38</v>
      </c>
      <c r="I12" s="145">
        <f t="shared" si="1"/>
        <v>2.3126666666666664</v>
      </c>
      <c r="J12" s="113"/>
      <c r="K12" s="114"/>
      <c r="L12" s="113"/>
      <c r="M12" s="113"/>
      <c r="N12" s="115">
        <f t="shared" si="2"/>
        <v>1410.75</v>
      </c>
      <c r="O12" s="113">
        <f t="shared" si="3"/>
        <v>19611.740000000002</v>
      </c>
      <c r="P12" s="155">
        <v>12600</v>
      </c>
      <c r="Q12" s="156">
        <f t="shared" si="6"/>
        <v>7011.7400000000016</v>
      </c>
      <c r="R12" s="155"/>
      <c r="S12" s="155"/>
      <c r="U12" s="110">
        <v>1400.84</v>
      </c>
      <c r="V12" s="143">
        <f t="shared" si="4"/>
        <v>46.694666666666663</v>
      </c>
      <c r="W12" s="113"/>
      <c r="X12" s="113"/>
      <c r="Y12" s="115">
        <f t="shared" si="5"/>
        <v>1400.84</v>
      </c>
      <c r="Z12" s="113">
        <f t="shared" si="7"/>
        <v>19611.759999999998</v>
      </c>
    </row>
    <row r="13" spans="1:33" ht="18" customHeight="1" x14ac:dyDescent="0.2">
      <c r="A13" s="81"/>
      <c r="B13" s="81"/>
      <c r="C13" s="108"/>
      <c r="D13" s="124" t="s">
        <v>20</v>
      </c>
      <c r="E13" s="116"/>
      <c r="F13" s="117"/>
      <c r="G13" s="117"/>
      <c r="H13" s="116"/>
      <c r="I13" s="146"/>
      <c r="J13" s="118"/>
      <c r="K13" s="119"/>
      <c r="L13" s="118"/>
      <c r="M13" s="118"/>
      <c r="N13" s="118"/>
      <c r="O13" s="116"/>
      <c r="U13" s="116"/>
      <c r="V13" s="117"/>
      <c r="W13" s="118"/>
      <c r="X13" s="118"/>
      <c r="Y13" s="118"/>
      <c r="Z13" s="116"/>
    </row>
    <row r="14" spans="1:33" ht="15" customHeight="1" x14ac:dyDescent="0.2">
      <c r="A14" s="80">
        <v>3</v>
      </c>
      <c r="B14" s="80" t="s">
        <v>71</v>
      </c>
      <c r="C14" s="107">
        <v>2201</v>
      </c>
      <c r="D14" s="97" t="s">
        <v>21</v>
      </c>
      <c r="E14" s="110">
        <v>1348.36</v>
      </c>
      <c r="F14" s="143">
        <f t="shared" si="0"/>
        <v>44.94533333333333</v>
      </c>
      <c r="G14" s="143" t="e">
        <f>+#REF!/30</f>
        <v>#REF!</v>
      </c>
      <c r="H14" s="110">
        <v>69.38</v>
      </c>
      <c r="I14" s="145">
        <f t="shared" si="1"/>
        <v>2.3126666666666664</v>
      </c>
      <c r="J14" s="113"/>
      <c r="K14" s="114"/>
      <c r="L14" s="113"/>
      <c r="M14" s="113"/>
      <c r="N14" s="115">
        <f t="shared" ref="N14:N19" si="8">+L14+J14+H14+E14</f>
        <v>1417.7399999999998</v>
      </c>
      <c r="O14" s="113">
        <f t="shared" ref="O14:O19" si="9">((E14+L14)*14)+((H14+J14)*12)</f>
        <v>19709.599999999999</v>
      </c>
      <c r="P14" s="155">
        <v>12600</v>
      </c>
      <c r="Q14" s="156">
        <f t="shared" si="6"/>
        <v>7109.5999999999985</v>
      </c>
      <c r="R14" s="155"/>
      <c r="S14" s="155"/>
      <c r="U14" s="110">
        <v>1407.83</v>
      </c>
      <c r="V14" s="143">
        <f t="shared" ref="V14:V19" si="10">U14/30</f>
        <v>46.927666666666667</v>
      </c>
      <c r="W14" s="113"/>
      <c r="X14" s="113"/>
      <c r="Y14" s="115">
        <f t="shared" ref="Y14:Y19" si="11">+U14+W14</f>
        <v>1407.83</v>
      </c>
      <c r="Z14" s="113">
        <f t="shared" si="7"/>
        <v>19709.62</v>
      </c>
    </row>
    <row r="15" spans="1:33" ht="15" customHeight="1" x14ac:dyDescent="0.2">
      <c r="A15" s="80">
        <v>3</v>
      </c>
      <c r="B15" s="80" t="s">
        <v>71</v>
      </c>
      <c r="C15" s="107">
        <v>2202</v>
      </c>
      <c r="D15" s="97" t="s">
        <v>22</v>
      </c>
      <c r="E15" s="110">
        <v>1208.0899999999999</v>
      </c>
      <c r="F15" s="143">
        <f t="shared" si="0"/>
        <v>40.269666666666666</v>
      </c>
      <c r="G15" s="143" t="e">
        <f>+#REF!/30</f>
        <v>#REF!</v>
      </c>
      <c r="H15" s="110">
        <v>69.38</v>
      </c>
      <c r="I15" s="145">
        <f t="shared" si="1"/>
        <v>2.3126666666666664</v>
      </c>
      <c r="J15" s="113"/>
      <c r="K15" s="114"/>
      <c r="L15" s="113"/>
      <c r="M15" s="113"/>
      <c r="N15" s="115">
        <f t="shared" si="8"/>
        <v>1277.4699999999998</v>
      </c>
      <c r="O15" s="113">
        <f t="shared" si="9"/>
        <v>17745.82</v>
      </c>
      <c r="P15" s="155">
        <v>12600</v>
      </c>
      <c r="Q15" s="156">
        <f t="shared" si="6"/>
        <v>5145.82</v>
      </c>
      <c r="R15" s="155"/>
      <c r="S15" s="155"/>
      <c r="U15" s="110">
        <v>1267.56</v>
      </c>
      <c r="V15" s="143">
        <f t="shared" si="10"/>
        <v>42.251999999999995</v>
      </c>
      <c r="W15" s="113"/>
      <c r="X15" s="113"/>
      <c r="Y15" s="115">
        <f t="shared" si="11"/>
        <v>1267.56</v>
      </c>
      <c r="Z15" s="113">
        <f t="shared" si="7"/>
        <v>17745.84</v>
      </c>
    </row>
    <row r="16" spans="1:33" ht="15" customHeight="1" x14ac:dyDescent="0.2">
      <c r="A16" s="80">
        <v>5</v>
      </c>
      <c r="B16" s="80" t="s">
        <v>71</v>
      </c>
      <c r="C16" s="107">
        <v>2203</v>
      </c>
      <c r="D16" s="97" t="s">
        <v>23</v>
      </c>
      <c r="E16" s="110">
        <v>995.93</v>
      </c>
      <c r="F16" s="143">
        <f t="shared" si="0"/>
        <v>33.197666666666663</v>
      </c>
      <c r="G16" s="143" t="e">
        <f>+#REF!/30</f>
        <v>#REF!</v>
      </c>
      <c r="H16" s="110">
        <v>69.38</v>
      </c>
      <c r="I16" s="145">
        <f t="shared" si="1"/>
        <v>2.3126666666666664</v>
      </c>
      <c r="J16" s="113"/>
      <c r="K16" s="114"/>
      <c r="L16" s="113"/>
      <c r="M16" s="113"/>
      <c r="N16" s="115">
        <f t="shared" si="8"/>
        <v>1065.31</v>
      </c>
      <c r="O16" s="113">
        <f t="shared" si="9"/>
        <v>14775.579999999998</v>
      </c>
      <c r="P16" s="155">
        <v>12600</v>
      </c>
      <c r="Q16" s="156">
        <f t="shared" si="6"/>
        <v>2175.5799999999981</v>
      </c>
      <c r="R16" s="155"/>
      <c r="S16" s="155"/>
      <c r="U16" s="110">
        <v>1055.4000000000001</v>
      </c>
      <c r="V16" s="143">
        <f t="shared" si="10"/>
        <v>35.18</v>
      </c>
      <c r="W16" s="113"/>
      <c r="X16" s="113"/>
      <c r="Y16" s="115">
        <f t="shared" si="11"/>
        <v>1055.4000000000001</v>
      </c>
      <c r="Z16" s="113">
        <f t="shared" si="7"/>
        <v>14775.600000000002</v>
      </c>
    </row>
    <row r="17" spans="1:26" ht="15" customHeight="1" x14ac:dyDescent="0.2">
      <c r="A17" s="80">
        <v>5</v>
      </c>
      <c r="B17" s="80" t="s">
        <v>71</v>
      </c>
      <c r="C17" s="107">
        <v>2204</v>
      </c>
      <c r="D17" s="97" t="s">
        <v>24</v>
      </c>
      <c r="E17" s="110">
        <v>915.62</v>
      </c>
      <c r="F17" s="143">
        <f t="shared" si="0"/>
        <v>30.520666666666667</v>
      </c>
      <c r="G17" s="143" t="e">
        <f>+#REF!/30</f>
        <v>#REF!</v>
      </c>
      <c r="H17" s="110">
        <v>69.38</v>
      </c>
      <c r="I17" s="145">
        <f t="shared" si="1"/>
        <v>2.3126666666666664</v>
      </c>
      <c r="J17" s="113"/>
      <c r="K17" s="114"/>
      <c r="L17" s="113"/>
      <c r="M17" s="113"/>
      <c r="N17" s="115">
        <f t="shared" si="8"/>
        <v>985</v>
      </c>
      <c r="O17" s="113">
        <f t="shared" si="9"/>
        <v>13651.24</v>
      </c>
      <c r="P17" s="155">
        <v>12600</v>
      </c>
      <c r="Q17" s="156">
        <f t="shared" si="6"/>
        <v>1051.2399999999998</v>
      </c>
      <c r="R17" s="155"/>
      <c r="S17" s="155"/>
      <c r="U17" s="110">
        <v>975.09</v>
      </c>
      <c r="V17" s="143">
        <f t="shared" si="10"/>
        <v>32.503</v>
      </c>
      <c r="W17" s="113"/>
      <c r="X17" s="113"/>
      <c r="Y17" s="115">
        <f t="shared" si="11"/>
        <v>975.09</v>
      </c>
      <c r="Z17" s="113">
        <f t="shared" si="7"/>
        <v>13651.26</v>
      </c>
    </row>
    <row r="18" spans="1:26" ht="15" customHeight="1" x14ac:dyDescent="0.2">
      <c r="A18" s="82">
        <v>7</v>
      </c>
      <c r="B18" s="82" t="s">
        <v>71</v>
      </c>
      <c r="C18" s="109">
        <v>2206</v>
      </c>
      <c r="D18" s="87" t="s">
        <v>25</v>
      </c>
      <c r="E18" s="110">
        <v>868.74</v>
      </c>
      <c r="F18" s="143">
        <f t="shared" si="0"/>
        <v>28.958000000000002</v>
      </c>
      <c r="G18" s="143" t="e">
        <f>+#REF!/30</f>
        <v>#REF!</v>
      </c>
      <c r="H18" s="110">
        <v>36.47</v>
      </c>
      <c r="I18" s="145">
        <f t="shared" si="1"/>
        <v>1.2156666666666667</v>
      </c>
      <c r="J18" s="113"/>
      <c r="K18" s="114"/>
      <c r="L18" s="113"/>
      <c r="M18" s="113"/>
      <c r="N18" s="115">
        <f t="shared" si="8"/>
        <v>905.21</v>
      </c>
      <c r="O18" s="113">
        <f t="shared" si="9"/>
        <v>12600</v>
      </c>
      <c r="P18" s="155">
        <v>12600</v>
      </c>
      <c r="Q18" s="156">
        <f t="shared" si="6"/>
        <v>0</v>
      </c>
      <c r="R18" s="156" t="e">
        <f>+E18+#REF!+H18+J18+L18</f>
        <v>#REF!</v>
      </c>
      <c r="S18" s="155" t="e">
        <f>((E18+#REF!+L18)*14+(H18+J18)*12)</f>
        <v>#REF!</v>
      </c>
      <c r="U18" s="110">
        <v>900</v>
      </c>
      <c r="V18" s="143">
        <f t="shared" si="10"/>
        <v>30</v>
      </c>
      <c r="W18" s="113"/>
      <c r="X18" s="113"/>
      <c r="Y18" s="115">
        <f t="shared" si="11"/>
        <v>900</v>
      </c>
      <c r="Z18" s="113">
        <f t="shared" si="7"/>
        <v>12600</v>
      </c>
    </row>
    <row r="19" spans="1:26" ht="15" customHeight="1" x14ac:dyDescent="0.2">
      <c r="A19" s="82">
        <v>7</v>
      </c>
      <c r="B19" s="82" t="s">
        <v>72</v>
      </c>
      <c r="C19" s="109"/>
      <c r="D19" s="87" t="s">
        <v>60</v>
      </c>
      <c r="E19" s="110">
        <v>868.74</v>
      </c>
      <c r="F19" s="143">
        <f t="shared" si="0"/>
        <v>28.958000000000002</v>
      </c>
      <c r="G19" s="143" t="e">
        <f>+#REF!/30</f>
        <v>#REF!</v>
      </c>
      <c r="H19" s="110">
        <v>36.47</v>
      </c>
      <c r="I19" s="145">
        <f t="shared" si="1"/>
        <v>1.2156666666666667</v>
      </c>
      <c r="J19" s="113"/>
      <c r="K19" s="114"/>
      <c r="L19" s="113"/>
      <c r="M19" s="113"/>
      <c r="N19" s="115">
        <f t="shared" si="8"/>
        <v>905.21</v>
      </c>
      <c r="O19" s="113">
        <f t="shared" si="9"/>
        <v>12600</v>
      </c>
      <c r="P19" s="155">
        <v>12600</v>
      </c>
      <c r="Q19" s="156">
        <f t="shared" si="6"/>
        <v>0</v>
      </c>
      <c r="R19" s="156" t="e">
        <f>+E19+#REF!+H19+J19+L19</f>
        <v>#REF!</v>
      </c>
      <c r="S19" s="155" t="e">
        <f>((E19+#REF!+L19)*14+(H19+J19)*12)</f>
        <v>#REF!</v>
      </c>
      <c r="U19" s="110">
        <v>900</v>
      </c>
      <c r="V19" s="143">
        <f t="shared" si="10"/>
        <v>30</v>
      </c>
      <c r="W19" s="113"/>
      <c r="X19" s="113"/>
      <c r="Y19" s="115">
        <f t="shared" si="11"/>
        <v>900</v>
      </c>
      <c r="Z19" s="113">
        <f t="shared" si="7"/>
        <v>12600</v>
      </c>
    </row>
    <row r="20" spans="1:26" ht="18" customHeight="1" x14ac:dyDescent="0.2">
      <c r="A20" s="81"/>
      <c r="B20" s="81"/>
      <c r="C20" s="108"/>
      <c r="D20" s="124" t="s">
        <v>28</v>
      </c>
      <c r="E20" s="116"/>
      <c r="F20" s="117"/>
      <c r="G20" s="117"/>
      <c r="H20" s="116"/>
      <c r="I20" s="146"/>
      <c r="J20" s="116"/>
      <c r="K20" s="117"/>
      <c r="L20" s="116"/>
      <c r="M20" s="116"/>
      <c r="N20" s="118"/>
      <c r="O20" s="116"/>
      <c r="U20" s="116"/>
      <c r="V20" s="117"/>
      <c r="W20" s="116"/>
      <c r="X20" s="116"/>
      <c r="Y20" s="118"/>
      <c r="Z20" s="116"/>
    </row>
    <row r="21" spans="1:26" ht="15" customHeight="1" x14ac:dyDescent="0.2">
      <c r="A21" s="80">
        <v>3</v>
      </c>
      <c r="B21" s="80" t="s">
        <v>72</v>
      </c>
      <c r="C21" s="107">
        <v>2504</v>
      </c>
      <c r="D21" s="97" t="s">
        <v>29</v>
      </c>
      <c r="E21" s="113">
        <v>1341.37</v>
      </c>
      <c r="F21" s="143">
        <f t="shared" ref="F21:F25" si="12">E21/30</f>
        <v>44.712333333333326</v>
      </c>
      <c r="G21" s="143" t="e">
        <f>+#REF!/30</f>
        <v>#REF!</v>
      </c>
      <c r="H21" s="113">
        <v>69.38</v>
      </c>
      <c r="I21" s="145">
        <f t="shared" si="1"/>
        <v>2.3126666666666664</v>
      </c>
      <c r="J21" s="113"/>
      <c r="K21" s="114"/>
      <c r="L21" s="113"/>
      <c r="M21" s="113"/>
      <c r="N21" s="115">
        <f>+L21+J21+H21+E21</f>
        <v>1410.75</v>
      </c>
      <c r="O21" s="113">
        <f>((E21+L21)*14)+((H21+J21)*12)</f>
        <v>19611.740000000002</v>
      </c>
      <c r="P21" s="155">
        <v>12600</v>
      </c>
      <c r="Q21" s="156">
        <f t="shared" si="6"/>
        <v>7011.7400000000016</v>
      </c>
      <c r="R21" s="155"/>
      <c r="S21" s="155"/>
      <c r="U21" s="113">
        <v>1400.84</v>
      </c>
      <c r="V21" s="143">
        <f t="shared" ref="V21:V22" si="13">U21/30</f>
        <v>46.694666666666663</v>
      </c>
      <c r="W21" s="113"/>
      <c r="X21" s="113"/>
      <c r="Y21" s="115">
        <f>+U21+W21</f>
        <v>1400.84</v>
      </c>
      <c r="Z21" s="113">
        <f t="shared" si="7"/>
        <v>19611.759999999998</v>
      </c>
    </row>
    <row r="22" spans="1:26" ht="15" customHeight="1" x14ac:dyDescent="0.2">
      <c r="A22" s="80">
        <v>5</v>
      </c>
      <c r="B22" s="80" t="s">
        <v>72</v>
      </c>
      <c r="C22" s="107">
        <v>2227</v>
      </c>
      <c r="D22" s="97" t="s">
        <v>30</v>
      </c>
      <c r="E22" s="113">
        <v>995.93</v>
      </c>
      <c r="F22" s="143">
        <f t="shared" si="12"/>
        <v>33.197666666666663</v>
      </c>
      <c r="G22" s="143" t="e">
        <f>+#REF!/30</f>
        <v>#REF!</v>
      </c>
      <c r="H22" s="113">
        <v>69.38</v>
      </c>
      <c r="I22" s="145">
        <f t="shared" si="1"/>
        <v>2.3126666666666664</v>
      </c>
      <c r="J22" s="113"/>
      <c r="K22" s="114"/>
      <c r="L22" s="113"/>
      <c r="M22" s="113"/>
      <c r="N22" s="115">
        <f>+L22+J22+H22+E22</f>
        <v>1065.31</v>
      </c>
      <c r="O22" s="113">
        <f>((E22+L22)*14)+((H22+J22)*12)</f>
        <v>14775.579999999998</v>
      </c>
      <c r="P22" s="155">
        <v>12600</v>
      </c>
      <c r="Q22" s="156">
        <f t="shared" si="6"/>
        <v>2175.5799999999981</v>
      </c>
      <c r="R22" s="155"/>
      <c r="S22" s="155"/>
      <c r="U22" s="113">
        <v>1055.4000000000001</v>
      </c>
      <c r="V22" s="143">
        <f t="shared" si="13"/>
        <v>35.18</v>
      </c>
      <c r="W22" s="113"/>
      <c r="X22" s="113"/>
      <c r="Y22" s="115">
        <f>+U22+W22</f>
        <v>1055.4000000000001</v>
      </c>
      <c r="Z22" s="113">
        <f t="shared" si="7"/>
        <v>14775.600000000002</v>
      </c>
    </row>
    <row r="23" spans="1:26" ht="18" customHeight="1" x14ac:dyDescent="0.2">
      <c r="A23" s="81"/>
      <c r="B23" s="81"/>
      <c r="C23" s="108"/>
      <c r="D23" s="124" t="s">
        <v>94</v>
      </c>
      <c r="E23" s="116"/>
      <c r="F23" s="117"/>
      <c r="G23" s="117"/>
      <c r="H23" s="116"/>
      <c r="I23" s="146"/>
      <c r="J23" s="116"/>
      <c r="K23" s="117"/>
      <c r="L23" s="116"/>
      <c r="M23" s="116"/>
      <c r="N23" s="118"/>
      <c r="O23" s="116"/>
      <c r="U23" s="116"/>
      <c r="V23" s="117"/>
      <c r="W23" s="116"/>
      <c r="X23" s="116"/>
      <c r="Y23" s="118"/>
      <c r="Z23" s="116"/>
    </row>
    <row r="24" spans="1:26" ht="15" customHeight="1" x14ac:dyDescent="0.2">
      <c r="A24" s="80">
        <v>3</v>
      </c>
      <c r="B24" s="80" t="s">
        <v>72</v>
      </c>
      <c r="C24" s="107">
        <v>2120</v>
      </c>
      <c r="D24" s="97" t="s">
        <v>48</v>
      </c>
      <c r="E24" s="110">
        <v>1348.36</v>
      </c>
      <c r="F24" s="143">
        <f t="shared" si="12"/>
        <v>44.94533333333333</v>
      </c>
      <c r="G24" s="143" t="e">
        <f>+#REF!/30</f>
        <v>#REF!</v>
      </c>
      <c r="H24" s="110">
        <v>69.38</v>
      </c>
      <c r="I24" s="145">
        <f t="shared" si="1"/>
        <v>2.3126666666666664</v>
      </c>
      <c r="J24" s="113"/>
      <c r="K24" s="114"/>
      <c r="L24" s="113"/>
      <c r="M24" s="113"/>
      <c r="N24" s="115">
        <f>+L24+J24+H24+E24</f>
        <v>1417.7399999999998</v>
      </c>
      <c r="O24" s="113">
        <f>((E24+L24)*14)+((H24+J24)*12)</f>
        <v>19709.599999999999</v>
      </c>
      <c r="P24" s="155">
        <v>12600</v>
      </c>
      <c r="Q24" s="156">
        <f t="shared" si="6"/>
        <v>7109.5999999999985</v>
      </c>
      <c r="R24" s="155"/>
      <c r="S24" s="155"/>
      <c r="U24" s="110">
        <v>1407.83</v>
      </c>
      <c r="V24" s="143">
        <f t="shared" ref="V24:V25" si="14">U24/30</f>
        <v>46.927666666666667</v>
      </c>
      <c r="W24" s="113"/>
      <c r="X24" s="113"/>
      <c r="Y24" s="115">
        <f>+U24+W24</f>
        <v>1407.83</v>
      </c>
      <c r="Z24" s="113">
        <f t="shared" si="7"/>
        <v>19709.62</v>
      </c>
    </row>
    <row r="25" spans="1:26" ht="15" customHeight="1" x14ac:dyDescent="0.2">
      <c r="A25" s="80">
        <v>5</v>
      </c>
      <c r="B25" s="80" t="s">
        <v>72</v>
      </c>
      <c r="C25" s="107">
        <v>2207</v>
      </c>
      <c r="D25" s="97" t="s">
        <v>49</v>
      </c>
      <c r="E25" s="110">
        <v>1004.23</v>
      </c>
      <c r="F25" s="143">
        <f t="shared" si="12"/>
        <v>33.474333333333334</v>
      </c>
      <c r="G25" s="143" t="e">
        <f>+#REF!/30</f>
        <v>#REF!</v>
      </c>
      <c r="H25" s="110">
        <v>69.38</v>
      </c>
      <c r="I25" s="145">
        <f t="shared" si="1"/>
        <v>2.3126666666666664</v>
      </c>
      <c r="J25" s="113"/>
      <c r="K25" s="114"/>
      <c r="L25" s="113"/>
      <c r="M25" s="113"/>
      <c r="N25" s="115">
        <f>+L25+J25+H25+E25</f>
        <v>1073.6100000000001</v>
      </c>
      <c r="O25" s="113">
        <f>((E25+L25)*14)+((H25+J25)*12)</f>
        <v>14891.78</v>
      </c>
      <c r="P25" s="155">
        <v>12600</v>
      </c>
      <c r="Q25" s="156">
        <f t="shared" si="6"/>
        <v>2291.7800000000007</v>
      </c>
      <c r="R25" s="155"/>
      <c r="S25" s="155"/>
      <c r="U25" s="110">
        <v>1063.7</v>
      </c>
      <c r="V25" s="143">
        <f t="shared" si="14"/>
        <v>35.456666666666671</v>
      </c>
      <c r="W25" s="113"/>
      <c r="X25" s="113"/>
      <c r="Y25" s="115">
        <f>+U25+W25</f>
        <v>1063.7</v>
      </c>
      <c r="Z25" s="113">
        <f t="shared" si="7"/>
        <v>14891.800000000001</v>
      </c>
    </row>
    <row r="26" spans="1:26" ht="18" customHeight="1" x14ac:dyDescent="0.2">
      <c r="A26" s="81"/>
      <c r="B26" s="81"/>
      <c r="C26" s="108"/>
      <c r="D26" s="124" t="s">
        <v>31</v>
      </c>
      <c r="E26" s="116"/>
      <c r="F26" s="117"/>
      <c r="G26" s="117"/>
      <c r="H26" s="116"/>
      <c r="I26" s="146"/>
      <c r="J26" s="116"/>
      <c r="K26" s="117"/>
      <c r="L26" s="116"/>
      <c r="M26" s="116"/>
      <c r="N26" s="118"/>
      <c r="O26" s="116"/>
      <c r="U26" s="116"/>
      <c r="V26" s="117"/>
      <c r="W26" s="116"/>
      <c r="X26" s="116"/>
      <c r="Y26" s="118"/>
      <c r="Z26" s="116"/>
    </row>
    <row r="27" spans="1:26" ht="17.100000000000001" hidden="1" customHeight="1" x14ac:dyDescent="0.2">
      <c r="A27" s="82">
        <v>6</v>
      </c>
      <c r="B27" s="82" t="s">
        <v>73</v>
      </c>
      <c r="C27" s="109">
        <v>2057</v>
      </c>
      <c r="D27" s="87" t="s">
        <v>91</v>
      </c>
      <c r="E27" s="110">
        <v>707.7</v>
      </c>
      <c r="F27" s="120">
        <f t="shared" ref="F27:F35" si="15">E27/30</f>
        <v>23.59</v>
      </c>
      <c r="G27" s="120"/>
      <c r="H27" s="110">
        <v>89.76</v>
      </c>
      <c r="I27" s="144">
        <f t="shared" ref="I27:I35" si="16">H27/30</f>
        <v>2.992</v>
      </c>
      <c r="J27" s="110">
        <v>34.32</v>
      </c>
      <c r="K27" s="120">
        <f t="shared" ref="K27:K35" si="17">J27/30</f>
        <v>1.1439999999999999</v>
      </c>
      <c r="L27" s="110"/>
      <c r="M27" s="110"/>
      <c r="N27" s="121">
        <f t="shared" ref="N27:N43" si="18">+L27+J27+H27+E27</f>
        <v>831.78000000000009</v>
      </c>
      <c r="O27" s="110">
        <f t="shared" ref="O27:O43" si="19">((E27+L27)*14)+((H27+J27)*12)</f>
        <v>11396.760000000002</v>
      </c>
      <c r="P27" s="73">
        <v>12600</v>
      </c>
      <c r="U27" s="110">
        <v>707.7</v>
      </c>
      <c r="V27" s="120">
        <f t="shared" ref="V27:V35" si="20">U27/30</f>
        <v>23.59</v>
      </c>
      <c r="W27" s="110"/>
      <c r="X27" s="110"/>
      <c r="Y27" s="121" t="e">
        <f>+W27+#REF!+#REF!+U27</f>
        <v>#REF!</v>
      </c>
      <c r="Z27" s="110" t="e">
        <f>((U27+W27)*14)+((#REF!+#REF!)*12)</f>
        <v>#REF!</v>
      </c>
    </row>
    <row r="28" spans="1:26" ht="15" customHeight="1" x14ac:dyDescent="0.2">
      <c r="A28" s="82">
        <v>6</v>
      </c>
      <c r="B28" s="82" t="s">
        <v>73</v>
      </c>
      <c r="C28" s="109">
        <v>2047</v>
      </c>
      <c r="D28" s="87" t="s">
        <v>66</v>
      </c>
      <c r="E28" s="110">
        <v>857.14250000000004</v>
      </c>
      <c r="F28" s="143">
        <f t="shared" si="15"/>
        <v>28.571416666666668</v>
      </c>
      <c r="G28" s="143" t="e">
        <f>+#REF!/30</f>
        <v>#REF!</v>
      </c>
      <c r="H28" s="110">
        <v>30</v>
      </c>
      <c r="I28" s="145">
        <f t="shared" si="16"/>
        <v>1</v>
      </c>
      <c r="J28" s="113">
        <v>20</v>
      </c>
      <c r="K28" s="143">
        <f t="shared" si="17"/>
        <v>0.66666666666666663</v>
      </c>
      <c r="L28" s="113"/>
      <c r="M28" s="113"/>
      <c r="N28" s="115">
        <f t="shared" si="18"/>
        <v>907.14250000000004</v>
      </c>
      <c r="O28" s="113">
        <f t="shared" si="19"/>
        <v>12599.995000000001</v>
      </c>
      <c r="P28" s="155">
        <v>12600</v>
      </c>
      <c r="Q28" s="156">
        <f t="shared" ref="Q28:Q42" si="21">+O28-P28</f>
        <v>-4.9999999991996447E-3</v>
      </c>
      <c r="R28" s="156" t="e">
        <f>+E28+#REF!+H28+J28+L28</f>
        <v>#REF!</v>
      </c>
      <c r="S28" s="155" t="e">
        <f>((E28+#REF!+L28)*14+(H28+J28)*12)</f>
        <v>#REF!</v>
      </c>
      <c r="U28" s="110">
        <v>900</v>
      </c>
      <c r="V28" s="143">
        <f t="shared" si="20"/>
        <v>30</v>
      </c>
      <c r="W28" s="113"/>
      <c r="X28" s="113"/>
      <c r="Y28" s="115">
        <f t="shared" ref="Y28:Y42" si="22">+U28+W28</f>
        <v>900</v>
      </c>
      <c r="Z28" s="113">
        <f t="shared" ref="Z28:Z42" si="23">+Y28*14</f>
        <v>12600</v>
      </c>
    </row>
    <row r="29" spans="1:26" ht="15" customHeight="1" x14ac:dyDescent="0.2">
      <c r="A29" s="82">
        <v>6</v>
      </c>
      <c r="B29" s="82" t="s">
        <v>72</v>
      </c>
      <c r="C29" s="109">
        <v>2042</v>
      </c>
      <c r="D29" s="87" t="s">
        <v>65</v>
      </c>
      <c r="E29" s="110">
        <v>857.14250000000004</v>
      </c>
      <c r="F29" s="143">
        <f t="shared" ref="F29:F30" si="24">E29/30</f>
        <v>28.571416666666668</v>
      </c>
      <c r="G29" s="143" t="e">
        <f>+#REF!/30</f>
        <v>#REF!</v>
      </c>
      <c r="H29" s="110">
        <v>30</v>
      </c>
      <c r="I29" s="145">
        <f t="shared" ref="I29:I30" si="25">H29/30</f>
        <v>1</v>
      </c>
      <c r="J29" s="113">
        <v>20</v>
      </c>
      <c r="K29" s="143">
        <f t="shared" si="17"/>
        <v>0.66666666666666663</v>
      </c>
      <c r="L29" s="113"/>
      <c r="M29" s="113"/>
      <c r="N29" s="115">
        <f t="shared" si="18"/>
        <v>907.14250000000004</v>
      </c>
      <c r="O29" s="113">
        <f t="shared" si="19"/>
        <v>12599.995000000001</v>
      </c>
      <c r="P29" s="155">
        <v>12600</v>
      </c>
      <c r="Q29" s="156">
        <f t="shared" si="21"/>
        <v>-4.9999999991996447E-3</v>
      </c>
      <c r="R29" s="156" t="e">
        <f>+E29+#REF!+H29+J29+L29</f>
        <v>#REF!</v>
      </c>
      <c r="S29" s="155" t="e">
        <f>((E29+#REF!+L29)*14+(H29+J29)*12)</f>
        <v>#REF!</v>
      </c>
      <c r="U29" s="110">
        <v>900</v>
      </c>
      <c r="V29" s="143">
        <f t="shared" si="20"/>
        <v>30</v>
      </c>
      <c r="W29" s="113"/>
      <c r="X29" s="113"/>
      <c r="Y29" s="115">
        <f t="shared" si="22"/>
        <v>900</v>
      </c>
      <c r="Z29" s="113">
        <f t="shared" si="23"/>
        <v>12600</v>
      </c>
    </row>
    <row r="30" spans="1:26" ht="15" customHeight="1" x14ac:dyDescent="0.2">
      <c r="A30" s="82">
        <v>6</v>
      </c>
      <c r="B30" s="82" t="s">
        <v>72</v>
      </c>
      <c r="C30" s="109">
        <v>2205</v>
      </c>
      <c r="D30" s="87" t="s">
        <v>33</v>
      </c>
      <c r="E30" s="110">
        <v>857.14250000000004</v>
      </c>
      <c r="F30" s="143">
        <f t="shared" si="24"/>
        <v>28.571416666666668</v>
      </c>
      <c r="G30" s="143" t="e">
        <f>+#REF!/30</f>
        <v>#REF!</v>
      </c>
      <c r="H30" s="110">
        <v>30</v>
      </c>
      <c r="I30" s="145">
        <f t="shared" si="25"/>
        <v>1</v>
      </c>
      <c r="J30" s="113">
        <v>20</v>
      </c>
      <c r="K30" s="143">
        <f t="shared" si="17"/>
        <v>0.66666666666666663</v>
      </c>
      <c r="L30" s="113"/>
      <c r="M30" s="113"/>
      <c r="N30" s="115">
        <f t="shared" si="18"/>
        <v>907.14250000000004</v>
      </c>
      <c r="O30" s="113">
        <f t="shared" si="19"/>
        <v>12599.995000000001</v>
      </c>
      <c r="P30" s="155">
        <v>12600</v>
      </c>
      <c r="Q30" s="156">
        <f t="shared" si="21"/>
        <v>-4.9999999991996447E-3</v>
      </c>
      <c r="R30" s="156" t="e">
        <f>+E30+#REF!+H30+J30+L30</f>
        <v>#REF!</v>
      </c>
      <c r="S30" s="155" t="e">
        <f>((E30+#REF!+L30)*14+(H30+J30)*12)</f>
        <v>#REF!</v>
      </c>
      <c r="U30" s="110">
        <v>900</v>
      </c>
      <c r="V30" s="143">
        <f t="shared" si="20"/>
        <v>30</v>
      </c>
      <c r="W30" s="113"/>
      <c r="X30" s="113"/>
      <c r="Y30" s="115">
        <f t="shared" si="22"/>
        <v>900</v>
      </c>
      <c r="Z30" s="113">
        <f t="shared" si="23"/>
        <v>12600</v>
      </c>
    </row>
    <row r="31" spans="1:26" ht="15" customHeight="1" x14ac:dyDescent="0.2">
      <c r="A31" s="82">
        <v>6</v>
      </c>
      <c r="B31" s="82" t="s">
        <v>73</v>
      </c>
      <c r="C31" s="109">
        <v>2046</v>
      </c>
      <c r="D31" s="87" t="s">
        <v>37</v>
      </c>
      <c r="E31" s="110">
        <v>857.14250000000004</v>
      </c>
      <c r="F31" s="143">
        <f t="shared" si="15"/>
        <v>28.571416666666668</v>
      </c>
      <c r="G31" s="143" t="e">
        <f>+#REF!/30</f>
        <v>#REF!</v>
      </c>
      <c r="H31" s="110">
        <v>40</v>
      </c>
      <c r="I31" s="145">
        <f t="shared" si="16"/>
        <v>1.3333333333333333</v>
      </c>
      <c r="J31" s="113">
        <v>20</v>
      </c>
      <c r="K31" s="143">
        <f t="shared" si="17"/>
        <v>0.66666666666666663</v>
      </c>
      <c r="L31" s="113">
        <v>92.08</v>
      </c>
      <c r="M31" s="143">
        <f>L31/30</f>
        <v>3.0693333333333332</v>
      </c>
      <c r="N31" s="115">
        <f t="shared" si="18"/>
        <v>1009.2225000000001</v>
      </c>
      <c r="O31" s="113">
        <f t="shared" si="19"/>
        <v>14009.115000000002</v>
      </c>
      <c r="P31" s="155">
        <v>12600</v>
      </c>
      <c r="Q31" s="156">
        <f t="shared" si="21"/>
        <v>1409.1150000000016</v>
      </c>
      <c r="R31" s="156" t="e">
        <f>+E31+#REF!+H31+J31+L31</f>
        <v>#REF!</v>
      </c>
      <c r="S31" s="155" t="e">
        <f>((E31+#REF!+L31)*14+(H31+J31)*12)</f>
        <v>#REF!</v>
      </c>
      <c r="U31" s="110">
        <v>908.57</v>
      </c>
      <c r="V31" s="143">
        <f t="shared" si="20"/>
        <v>30.285666666666668</v>
      </c>
      <c r="W31" s="113">
        <v>92.08</v>
      </c>
      <c r="X31" s="143">
        <f>W31/30</f>
        <v>3.0693333333333332</v>
      </c>
      <c r="Y31" s="115">
        <f t="shared" si="22"/>
        <v>1000.6500000000001</v>
      </c>
      <c r="Z31" s="113">
        <f t="shared" si="23"/>
        <v>14009.100000000002</v>
      </c>
    </row>
    <row r="32" spans="1:26" ht="15" customHeight="1" x14ac:dyDescent="0.2">
      <c r="A32" s="82">
        <v>6</v>
      </c>
      <c r="B32" s="82" t="s">
        <v>72</v>
      </c>
      <c r="C32" s="109">
        <v>2048</v>
      </c>
      <c r="D32" s="87" t="s">
        <v>106</v>
      </c>
      <c r="E32" s="110">
        <v>857.14250000000004</v>
      </c>
      <c r="F32" s="143">
        <f t="shared" si="15"/>
        <v>28.571416666666668</v>
      </c>
      <c r="G32" s="143" t="e">
        <f>+#REF!/30</f>
        <v>#REF!</v>
      </c>
      <c r="H32" s="110">
        <v>30</v>
      </c>
      <c r="I32" s="145">
        <f t="shared" si="16"/>
        <v>1</v>
      </c>
      <c r="J32" s="113">
        <v>20</v>
      </c>
      <c r="K32" s="143">
        <f t="shared" si="17"/>
        <v>0.66666666666666663</v>
      </c>
      <c r="L32" s="113"/>
      <c r="M32" s="113"/>
      <c r="N32" s="115">
        <f t="shared" si="18"/>
        <v>907.14250000000004</v>
      </c>
      <c r="O32" s="113">
        <f t="shared" si="19"/>
        <v>12599.995000000001</v>
      </c>
      <c r="P32" s="155">
        <v>12600</v>
      </c>
      <c r="Q32" s="156">
        <f t="shared" si="21"/>
        <v>-4.9999999991996447E-3</v>
      </c>
      <c r="R32" s="156" t="e">
        <f>+E32+#REF!+H32+J32+L32</f>
        <v>#REF!</v>
      </c>
      <c r="S32" s="155" t="e">
        <f>((E32+#REF!+L32)*14+(H32+J32)*12)</f>
        <v>#REF!</v>
      </c>
      <c r="U32" s="110">
        <v>900</v>
      </c>
      <c r="V32" s="143">
        <f t="shared" si="20"/>
        <v>30</v>
      </c>
      <c r="W32" s="113"/>
      <c r="X32" s="113"/>
      <c r="Y32" s="115">
        <f t="shared" si="22"/>
        <v>900</v>
      </c>
      <c r="Z32" s="113">
        <f t="shared" si="23"/>
        <v>12600</v>
      </c>
    </row>
    <row r="33" spans="1:26" s="138" customFormat="1" ht="15" customHeight="1" x14ac:dyDescent="0.2">
      <c r="A33" s="82">
        <v>6</v>
      </c>
      <c r="B33" s="82" t="s">
        <v>72</v>
      </c>
      <c r="C33" s="109">
        <v>2044</v>
      </c>
      <c r="D33" s="87" t="s">
        <v>76</v>
      </c>
      <c r="E33" s="110">
        <v>857.14250000000004</v>
      </c>
      <c r="F33" s="143">
        <f t="shared" si="15"/>
        <v>28.571416666666668</v>
      </c>
      <c r="G33" s="143" t="e">
        <f>+#REF!/30</f>
        <v>#REF!</v>
      </c>
      <c r="H33" s="110">
        <v>30</v>
      </c>
      <c r="I33" s="145">
        <f t="shared" si="16"/>
        <v>1</v>
      </c>
      <c r="J33" s="113">
        <v>20</v>
      </c>
      <c r="K33" s="143">
        <f t="shared" si="17"/>
        <v>0.66666666666666663</v>
      </c>
      <c r="L33" s="113"/>
      <c r="M33" s="113"/>
      <c r="N33" s="115">
        <f t="shared" si="18"/>
        <v>907.14250000000004</v>
      </c>
      <c r="O33" s="113">
        <f t="shared" si="19"/>
        <v>12599.995000000001</v>
      </c>
      <c r="P33" s="155">
        <v>12600</v>
      </c>
      <c r="Q33" s="156">
        <f t="shared" si="21"/>
        <v>-4.9999999991996447E-3</v>
      </c>
      <c r="R33" s="156" t="e">
        <f>+E33+#REF!+H33+J33+L33</f>
        <v>#REF!</v>
      </c>
      <c r="S33" s="155" t="e">
        <f>((E33+#REF!+L33)*14+(H33+J33)*12)</f>
        <v>#REF!</v>
      </c>
      <c r="U33" s="110">
        <v>900</v>
      </c>
      <c r="V33" s="143">
        <f t="shared" si="20"/>
        <v>30</v>
      </c>
      <c r="W33" s="113"/>
      <c r="X33" s="113"/>
      <c r="Y33" s="115">
        <f t="shared" si="22"/>
        <v>900</v>
      </c>
      <c r="Z33" s="113">
        <f t="shared" si="23"/>
        <v>12600</v>
      </c>
    </row>
    <row r="34" spans="1:26" ht="15" customHeight="1" x14ac:dyDescent="0.2">
      <c r="A34" s="82">
        <v>3</v>
      </c>
      <c r="B34" s="82" t="s">
        <v>72</v>
      </c>
      <c r="C34" s="109">
        <v>2510</v>
      </c>
      <c r="D34" s="87" t="s">
        <v>93</v>
      </c>
      <c r="E34" s="110">
        <v>857.14250000000004</v>
      </c>
      <c r="F34" s="143">
        <f t="shared" si="15"/>
        <v>28.571416666666668</v>
      </c>
      <c r="G34" s="143" t="e">
        <f>+#REF!/30</f>
        <v>#REF!</v>
      </c>
      <c r="H34" s="110">
        <v>30</v>
      </c>
      <c r="I34" s="145">
        <f t="shared" si="16"/>
        <v>1</v>
      </c>
      <c r="J34" s="113">
        <v>20</v>
      </c>
      <c r="K34" s="143">
        <f t="shared" si="17"/>
        <v>0.66666666666666663</v>
      </c>
      <c r="L34" s="110"/>
      <c r="M34" s="110"/>
      <c r="N34" s="115">
        <f t="shared" si="18"/>
        <v>907.14250000000004</v>
      </c>
      <c r="O34" s="113">
        <f t="shared" si="19"/>
        <v>12599.995000000001</v>
      </c>
      <c r="P34" s="155">
        <v>12600</v>
      </c>
      <c r="Q34" s="156">
        <f t="shared" si="21"/>
        <v>-4.9999999991996447E-3</v>
      </c>
      <c r="R34" s="156" t="e">
        <f>+E34+#REF!+H34+J34+L34</f>
        <v>#REF!</v>
      </c>
      <c r="S34" s="155" t="e">
        <f>((E34+#REF!+L34)*14+(H34+J34)*12)</f>
        <v>#REF!</v>
      </c>
      <c r="U34" s="110">
        <v>857.14250000000004</v>
      </c>
      <c r="V34" s="143">
        <f t="shared" si="20"/>
        <v>28.571416666666668</v>
      </c>
      <c r="W34" s="110"/>
      <c r="X34" s="110"/>
      <c r="Y34" s="115">
        <f t="shared" si="22"/>
        <v>857.14250000000004</v>
      </c>
      <c r="Z34" s="113">
        <f t="shared" si="23"/>
        <v>11999.995000000001</v>
      </c>
    </row>
    <row r="35" spans="1:26" ht="15" customHeight="1" x14ac:dyDescent="0.2">
      <c r="A35" s="82">
        <v>6</v>
      </c>
      <c r="B35" s="82" t="s">
        <v>72</v>
      </c>
      <c r="C35" s="109">
        <v>2500</v>
      </c>
      <c r="D35" s="87" t="s">
        <v>77</v>
      </c>
      <c r="E35" s="110">
        <v>857.14250000000004</v>
      </c>
      <c r="F35" s="143">
        <f t="shared" si="15"/>
        <v>28.571416666666668</v>
      </c>
      <c r="G35" s="143" t="e">
        <f>+#REF!/30</f>
        <v>#REF!</v>
      </c>
      <c r="H35" s="110">
        <v>30</v>
      </c>
      <c r="I35" s="145">
        <f t="shared" si="16"/>
        <v>1</v>
      </c>
      <c r="J35" s="113">
        <v>20</v>
      </c>
      <c r="K35" s="143">
        <f t="shared" si="17"/>
        <v>0.66666666666666663</v>
      </c>
      <c r="L35" s="110"/>
      <c r="M35" s="110"/>
      <c r="N35" s="115">
        <f t="shared" si="18"/>
        <v>907.14250000000004</v>
      </c>
      <c r="O35" s="113">
        <f t="shared" si="19"/>
        <v>12599.995000000001</v>
      </c>
      <c r="P35" s="155">
        <v>12600</v>
      </c>
      <c r="Q35" s="156">
        <f t="shared" si="21"/>
        <v>-4.9999999991996447E-3</v>
      </c>
      <c r="R35" s="156" t="e">
        <f>+E35+#REF!+H35+J35+L35</f>
        <v>#REF!</v>
      </c>
      <c r="S35" s="155" t="e">
        <f>((E35+#REF!+L35)*14+(H35+J35)*12)</f>
        <v>#REF!</v>
      </c>
      <c r="U35" s="110">
        <v>900</v>
      </c>
      <c r="V35" s="143">
        <f t="shared" si="20"/>
        <v>30</v>
      </c>
      <c r="W35" s="110"/>
      <c r="X35" s="110"/>
      <c r="Y35" s="115">
        <f t="shared" si="22"/>
        <v>900</v>
      </c>
      <c r="Z35" s="113">
        <f t="shared" si="23"/>
        <v>12600</v>
      </c>
    </row>
    <row r="36" spans="1:26" s="138" customFormat="1" ht="15" customHeight="1" x14ac:dyDescent="0.2">
      <c r="A36" s="82">
        <v>7</v>
      </c>
      <c r="B36" s="82" t="s">
        <v>72</v>
      </c>
      <c r="C36" s="109">
        <v>2214</v>
      </c>
      <c r="D36" s="87" t="s">
        <v>92</v>
      </c>
      <c r="E36" s="110">
        <v>1047.3</v>
      </c>
      <c r="F36" s="120"/>
      <c r="G36" s="120" t="e">
        <f>+#REF!/30</f>
        <v>#REF!</v>
      </c>
      <c r="H36" s="110">
        <v>0</v>
      </c>
      <c r="I36" s="144"/>
      <c r="J36" s="110">
        <v>0</v>
      </c>
      <c r="K36" s="144"/>
      <c r="L36" s="110"/>
      <c r="M36" s="110"/>
      <c r="N36" s="115">
        <f t="shared" si="18"/>
        <v>1047.3</v>
      </c>
      <c r="O36" s="113">
        <f t="shared" si="19"/>
        <v>14662.199999999999</v>
      </c>
      <c r="P36" s="155">
        <v>12600</v>
      </c>
      <c r="Q36" s="156">
        <f t="shared" si="21"/>
        <v>2062.1999999999989</v>
      </c>
      <c r="R36" s="157"/>
      <c r="S36" s="157"/>
      <c r="U36" s="110">
        <v>1047.3</v>
      </c>
      <c r="V36" s="120"/>
      <c r="W36" s="110"/>
      <c r="X36" s="110"/>
      <c r="Y36" s="115">
        <f t="shared" si="22"/>
        <v>1047.3</v>
      </c>
      <c r="Z36" s="113">
        <f t="shared" si="23"/>
        <v>14662.199999999999</v>
      </c>
    </row>
    <row r="37" spans="1:26" s="138" customFormat="1" ht="15" customHeight="1" x14ac:dyDescent="0.2">
      <c r="A37" s="82">
        <v>10</v>
      </c>
      <c r="B37" s="82" t="s">
        <v>90</v>
      </c>
      <c r="C37" s="109">
        <v>19906</v>
      </c>
      <c r="D37" s="87" t="s">
        <v>89</v>
      </c>
      <c r="E37" s="110">
        <v>760.35</v>
      </c>
      <c r="F37" s="120"/>
      <c r="G37" s="120" t="e">
        <f>+#REF!/30</f>
        <v>#REF!</v>
      </c>
      <c r="H37" s="110">
        <v>0</v>
      </c>
      <c r="I37" s="144"/>
      <c r="J37" s="110">
        <v>0</v>
      </c>
      <c r="K37" s="144"/>
      <c r="L37" s="110">
        <v>55.45</v>
      </c>
      <c r="M37" s="110"/>
      <c r="N37" s="115">
        <f t="shared" si="18"/>
        <v>815.80000000000007</v>
      </c>
      <c r="O37" s="113">
        <f t="shared" si="19"/>
        <v>11421.2</v>
      </c>
      <c r="P37" s="155">
        <v>12600</v>
      </c>
      <c r="Q37" s="156">
        <f t="shared" si="21"/>
        <v>-1178.7999999999993</v>
      </c>
      <c r="R37" s="157"/>
      <c r="S37" s="157"/>
      <c r="U37" s="110">
        <v>760.35</v>
      </c>
      <c r="V37" s="120"/>
      <c r="W37" s="110">
        <v>55.45</v>
      </c>
      <c r="X37" s="110"/>
      <c r="Y37" s="115">
        <f t="shared" si="22"/>
        <v>815.80000000000007</v>
      </c>
      <c r="Z37" s="113">
        <f t="shared" si="23"/>
        <v>11421.2</v>
      </c>
    </row>
    <row r="38" spans="1:26" s="138" customFormat="1" ht="15" customHeight="1" x14ac:dyDescent="0.2">
      <c r="A38" s="82">
        <v>6</v>
      </c>
      <c r="B38" s="82" t="s">
        <v>72</v>
      </c>
      <c r="C38" s="109">
        <v>2053</v>
      </c>
      <c r="D38" s="87" t="s">
        <v>88</v>
      </c>
      <c r="E38" s="110">
        <v>883.79</v>
      </c>
      <c r="F38" s="143">
        <f>E38/30</f>
        <v>29.459666666666667</v>
      </c>
      <c r="G38" s="143" t="e">
        <f>+#REF!/30</f>
        <v>#REF!</v>
      </c>
      <c r="H38" s="110">
        <v>79.3</v>
      </c>
      <c r="I38" s="143">
        <f>H38/30</f>
        <v>2.6433333333333331</v>
      </c>
      <c r="J38" s="110">
        <v>57.18</v>
      </c>
      <c r="K38" s="143">
        <f t="shared" ref="K38:K43" si="26">J38/30</f>
        <v>1.9059999999999999</v>
      </c>
      <c r="L38" s="110"/>
      <c r="M38" s="110"/>
      <c r="N38" s="115">
        <f t="shared" si="18"/>
        <v>1020.27</v>
      </c>
      <c r="O38" s="113">
        <f t="shared" si="19"/>
        <v>14010.82</v>
      </c>
      <c r="P38" s="155">
        <v>12600</v>
      </c>
      <c r="Q38" s="156">
        <f t="shared" si="21"/>
        <v>1410.8199999999997</v>
      </c>
      <c r="R38" s="157"/>
      <c r="S38" s="157"/>
      <c r="U38" s="110">
        <v>1000.77</v>
      </c>
      <c r="V38" s="143">
        <f>U38/30</f>
        <v>33.359000000000002</v>
      </c>
      <c r="W38" s="110"/>
      <c r="X38" s="110"/>
      <c r="Y38" s="115">
        <f t="shared" si="22"/>
        <v>1000.77</v>
      </c>
      <c r="Z38" s="113">
        <f t="shared" si="23"/>
        <v>14010.779999999999</v>
      </c>
    </row>
    <row r="39" spans="1:26" s="138" customFormat="1" ht="15" customHeight="1" x14ac:dyDescent="0.2">
      <c r="A39" s="82">
        <v>6</v>
      </c>
      <c r="B39" s="82" t="s">
        <v>72</v>
      </c>
      <c r="C39" s="109">
        <v>2043</v>
      </c>
      <c r="D39" s="87" t="s">
        <v>36</v>
      </c>
      <c r="E39" s="110">
        <v>857.14250000000004</v>
      </c>
      <c r="F39" s="143">
        <f t="shared" ref="F39" si="27">E39/30</f>
        <v>28.571416666666668</v>
      </c>
      <c r="G39" s="143" t="e">
        <f>+#REF!/30</f>
        <v>#REF!</v>
      </c>
      <c r="H39" s="110">
        <v>30</v>
      </c>
      <c r="I39" s="145">
        <f t="shared" ref="I39" si="28">H39/30</f>
        <v>1</v>
      </c>
      <c r="J39" s="113">
        <v>20</v>
      </c>
      <c r="K39" s="143">
        <f t="shared" si="26"/>
        <v>0.66666666666666663</v>
      </c>
      <c r="L39" s="113"/>
      <c r="M39" s="113"/>
      <c r="N39" s="115">
        <f t="shared" si="18"/>
        <v>907.14250000000004</v>
      </c>
      <c r="O39" s="113">
        <f t="shared" si="19"/>
        <v>12599.995000000001</v>
      </c>
      <c r="P39" s="155">
        <v>12600</v>
      </c>
      <c r="Q39" s="156">
        <f t="shared" si="21"/>
        <v>-4.9999999991996447E-3</v>
      </c>
      <c r="R39" s="157" t="e">
        <f>+E39+#REF!+H39+J39+L39</f>
        <v>#REF!</v>
      </c>
      <c r="S39" s="157" t="e">
        <f>((E39+#REF!+L39)*14+(H39+J39)*12)</f>
        <v>#REF!</v>
      </c>
      <c r="U39" s="110">
        <v>900</v>
      </c>
      <c r="V39" s="143">
        <f t="shared" ref="V39" si="29">U39/30</f>
        <v>30</v>
      </c>
      <c r="W39" s="113"/>
      <c r="X39" s="113"/>
      <c r="Y39" s="115">
        <f t="shared" si="22"/>
        <v>900</v>
      </c>
      <c r="Z39" s="113">
        <f t="shared" si="23"/>
        <v>12600</v>
      </c>
    </row>
    <row r="40" spans="1:26" s="138" customFormat="1" ht="15" customHeight="1" x14ac:dyDescent="0.2">
      <c r="A40" s="82">
        <v>6</v>
      </c>
      <c r="B40" s="82" t="s">
        <v>72</v>
      </c>
      <c r="C40" s="109">
        <v>2045</v>
      </c>
      <c r="D40" s="87" t="s">
        <v>96</v>
      </c>
      <c r="E40" s="110">
        <v>714.15</v>
      </c>
      <c r="F40" s="144">
        <f>E40/30</f>
        <v>23.805</v>
      </c>
      <c r="G40" s="144" t="e">
        <f>+#REF!/30</f>
        <v>#REF!</v>
      </c>
      <c r="H40" s="110">
        <v>57.83</v>
      </c>
      <c r="I40" s="144">
        <f>H40/30</f>
        <v>1.9276666666666666</v>
      </c>
      <c r="J40" s="110">
        <v>27.76</v>
      </c>
      <c r="K40" s="143">
        <f t="shared" si="26"/>
        <v>0.92533333333333334</v>
      </c>
      <c r="L40" s="110"/>
      <c r="M40" s="110"/>
      <c r="N40" s="115">
        <f t="shared" si="18"/>
        <v>799.74</v>
      </c>
      <c r="O40" s="113">
        <f t="shared" si="19"/>
        <v>11025.18</v>
      </c>
      <c r="P40" s="155">
        <v>12600</v>
      </c>
      <c r="Q40" s="156">
        <f t="shared" si="21"/>
        <v>-1574.8199999999997</v>
      </c>
      <c r="R40" s="157" t="e">
        <f>+E40+#REF!+H40+J40+L40</f>
        <v>#REF!</v>
      </c>
      <c r="S40" s="157" t="e">
        <f>((E40+#REF!+L40)*14+(H40+J40)*12)</f>
        <v>#REF!</v>
      </c>
      <c r="U40" s="110">
        <v>714.15</v>
      </c>
      <c r="V40" s="144">
        <f>U40/30</f>
        <v>23.805</v>
      </c>
      <c r="W40" s="110"/>
      <c r="X40" s="110"/>
      <c r="Y40" s="115">
        <f t="shared" si="22"/>
        <v>714.15</v>
      </c>
      <c r="Z40" s="113">
        <f t="shared" si="23"/>
        <v>9998.1</v>
      </c>
    </row>
    <row r="41" spans="1:26" s="138" customFormat="1" ht="15" customHeight="1" x14ac:dyDescent="0.2">
      <c r="A41" s="82">
        <v>10</v>
      </c>
      <c r="B41" s="82" t="s">
        <v>72</v>
      </c>
      <c r="C41" s="109">
        <v>2051</v>
      </c>
      <c r="D41" s="87" t="s">
        <v>108</v>
      </c>
      <c r="E41" s="110">
        <v>857.14250000000004</v>
      </c>
      <c r="F41" s="143">
        <f>E41/30</f>
        <v>28.571416666666668</v>
      </c>
      <c r="G41" s="143" t="e">
        <f>+#REF!/30</f>
        <v>#REF!</v>
      </c>
      <c r="H41" s="110">
        <v>37</v>
      </c>
      <c r="I41" s="145">
        <f>H41/30</f>
        <v>1.2333333333333334</v>
      </c>
      <c r="J41" s="113">
        <v>13</v>
      </c>
      <c r="K41" s="143">
        <f t="shared" si="26"/>
        <v>0.43333333333333335</v>
      </c>
      <c r="L41" s="113"/>
      <c r="M41" s="113"/>
      <c r="N41" s="115">
        <f t="shared" si="18"/>
        <v>907.14250000000004</v>
      </c>
      <c r="O41" s="113">
        <f t="shared" si="19"/>
        <v>12599.995000000001</v>
      </c>
      <c r="P41" s="155">
        <v>12600</v>
      </c>
      <c r="Q41" s="156">
        <f t="shared" si="21"/>
        <v>-4.9999999991996447E-3</v>
      </c>
      <c r="R41" s="157" t="e">
        <f>+E41+#REF!+H41+J41+L41</f>
        <v>#REF!</v>
      </c>
      <c r="S41" s="157" t="e">
        <f>((E41+#REF!+L41)*14+(H41+J41)*12)</f>
        <v>#REF!</v>
      </c>
      <c r="U41" s="110">
        <v>900</v>
      </c>
      <c r="V41" s="143">
        <f>U41/30</f>
        <v>30</v>
      </c>
      <c r="W41" s="113"/>
      <c r="X41" s="113"/>
      <c r="Y41" s="115">
        <f t="shared" si="22"/>
        <v>900</v>
      </c>
      <c r="Z41" s="113">
        <f t="shared" si="23"/>
        <v>12600</v>
      </c>
    </row>
    <row r="42" spans="1:26" s="138" customFormat="1" ht="15" customHeight="1" x14ac:dyDescent="0.2">
      <c r="A42" s="82">
        <v>7</v>
      </c>
      <c r="B42" s="82" t="s">
        <v>72</v>
      </c>
      <c r="C42" s="109">
        <v>2209</v>
      </c>
      <c r="D42" s="87" t="s">
        <v>107</v>
      </c>
      <c r="E42" s="110">
        <v>857.14250000000004</v>
      </c>
      <c r="F42" s="143">
        <f t="shared" ref="F42" si="30">E42/30</f>
        <v>28.571416666666668</v>
      </c>
      <c r="G42" s="143" t="e">
        <f>+#REF!/30</f>
        <v>#REF!</v>
      </c>
      <c r="H42" s="110">
        <v>30</v>
      </c>
      <c r="I42" s="145">
        <f t="shared" ref="I42" si="31">H42/30</f>
        <v>1</v>
      </c>
      <c r="J42" s="113">
        <v>20</v>
      </c>
      <c r="K42" s="143">
        <f t="shared" si="26"/>
        <v>0.66666666666666663</v>
      </c>
      <c r="L42" s="113"/>
      <c r="M42" s="113"/>
      <c r="N42" s="115">
        <f t="shared" si="18"/>
        <v>907.14250000000004</v>
      </c>
      <c r="O42" s="113">
        <f t="shared" si="19"/>
        <v>12599.995000000001</v>
      </c>
      <c r="P42" s="155">
        <v>12600</v>
      </c>
      <c r="Q42" s="156">
        <f t="shared" si="21"/>
        <v>-4.9999999991996447E-3</v>
      </c>
      <c r="R42" s="157" t="e">
        <f>+E42+#REF!+H42+J42+L42</f>
        <v>#REF!</v>
      </c>
      <c r="S42" s="157" t="e">
        <f>((E42+#REF!+L42)*14+(H42+J42)*12)</f>
        <v>#REF!</v>
      </c>
      <c r="U42" s="110">
        <v>900</v>
      </c>
      <c r="V42" s="143">
        <f t="shared" ref="V42" si="32">U42/30</f>
        <v>30</v>
      </c>
      <c r="W42" s="113"/>
      <c r="X42" s="113"/>
      <c r="Y42" s="115">
        <f t="shared" si="22"/>
        <v>900</v>
      </c>
      <c r="Z42" s="113">
        <f t="shared" si="23"/>
        <v>12600</v>
      </c>
    </row>
    <row r="43" spans="1:26" ht="17.100000000000001" hidden="1" customHeight="1" x14ac:dyDescent="0.2">
      <c r="A43" s="82">
        <v>7</v>
      </c>
      <c r="B43" s="82" t="s">
        <v>72</v>
      </c>
      <c r="C43" s="109">
        <v>2215</v>
      </c>
      <c r="D43" s="87" t="s">
        <v>95</v>
      </c>
      <c r="E43" s="110">
        <v>946.91</v>
      </c>
      <c r="F43" s="120"/>
      <c r="G43" s="120"/>
      <c r="H43" s="110">
        <v>0</v>
      </c>
      <c r="I43" s="120"/>
      <c r="J43" s="110">
        <v>0</v>
      </c>
      <c r="K43" s="120">
        <f t="shared" si="26"/>
        <v>0</v>
      </c>
      <c r="L43" s="110"/>
      <c r="M43" s="110"/>
      <c r="N43" s="121">
        <f t="shared" si="18"/>
        <v>946.91</v>
      </c>
      <c r="O43" s="110">
        <f t="shared" si="19"/>
        <v>13256.74</v>
      </c>
      <c r="U43" s="110">
        <v>946.91</v>
      </c>
      <c r="V43" s="120"/>
      <c r="W43" s="110"/>
      <c r="X43" s="110"/>
      <c r="Y43" s="121" t="e">
        <f>+W43+#REF!+#REF!+U43</f>
        <v>#REF!</v>
      </c>
      <c r="Z43" s="110" t="e">
        <f>((U43+W43)*14)+((#REF!+#REF!)*12)</f>
        <v>#REF!</v>
      </c>
    </row>
    <row r="44" spans="1:26" x14ac:dyDescent="0.2">
      <c r="A44" s="139"/>
      <c r="B44" s="139"/>
    </row>
    <row r="45" spans="1:26" ht="23.25" customHeight="1" x14ac:dyDescent="0.2">
      <c r="A45" s="129" t="s">
        <v>78</v>
      </c>
      <c r="B45" s="89"/>
      <c r="C45" s="125"/>
      <c r="D45" s="126"/>
      <c r="E45" s="128"/>
      <c r="F45" s="128"/>
      <c r="G45" s="128"/>
      <c r="H45" s="186" t="s">
        <v>103</v>
      </c>
      <c r="I45" s="186"/>
      <c r="J45" s="186"/>
      <c r="K45" s="186"/>
      <c r="L45" s="186"/>
      <c r="M45" s="186"/>
      <c r="N45" s="186"/>
    </row>
    <row r="46" spans="1:26" ht="12.95" customHeight="1" x14ac:dyDescent="0.2">
      <c r="A46" s="98" t="s">
        <v>79</v>
      </c>
      <c r="B46" s="99"/>
      <c r="C46" s="99"/>
      <c r="D46" s="99"/>
      <c r="E46" s="104" t="s">
        <v>80</v>
      </c>
      <c r="F46" s="88"/>
      <c r="G46" s="147"/>
      <c r="H46" s="189" t="s">
        <v>97</v>
      </c>
      <c r="I46" s="190"/>
      <c r="J46" s="190"/>
      <c r="K46" s="190"/>
      <c r="L46" s="190"/>
      <c r="M46" s="190"/>
      <c r="N46" s="190"/>
      <c r="O46" s="95">
        <v>0.7</v>
      </c>
    </row>
    <row r="47" spans="1:26" ht="12.95" customHeight="1" x14ac:dyDescent="0.2">
      <c r="A47" s="100" t="s">
        <v>81</v>
      </c>
      <c r="B47" s="101"/>
      <c r="C47" s="101"/>
      <c r="D47" s="101"/>
      <c r="E47" s="105" t="s">
        <v>82</v>
      </c>
      <c r="F47" s="88"/>
      <c r="G47" s="90"/>
      <c r="H47" s="187" t="s">
        <v>98</v>
      </c>
      <c r="I47" s="188"/>
      <c r="J47" s="188"/>
      <c r="K47" s="188"/>
      <c r="L47" s="188"/>
      <c r="M47" s="188"/>
      <c r="N47" s="188"/>
      <c r="O47" s="96">
        <v>0.2</v>
      </c>
    </row>
    <row r="48" spans="1:26" ht="12.95" customHeight="1" x14ac:dyDescent="0.2">
      <c r="A48" s="100" t="s">
        <v>83</v>
      </c>
      <c r="B48" s="101"/>
      <c r="C48" s="101"/>
      <c r="D48" s="101"/>
      <c r="E48" s="105" t="s">
        <v>84</v>
      </c>
      <c r="F48" s="88"/>
      <c r="G48" s="90"/>
      <c r="H48" s="187" t="s">
        <v>99</v>
      </c>
      <c r="I48" s="188"/>
      <c r="J48" s="188"/>
      <c r="K48" s="188"/>
      <c r="L48" s="188"/>
      <c r="M48" s="188"/>
      <c r="N48" s="188"/>
      <c r="O48" s="96">
        <v>0.23</v>
      </c>
    </row>
    <row r="49" spans="1:26" ht="12.95" customHeight="1" x14ac:dyDescent="0.2">
      <c r="A49" s="100" t="s">
        <v>85</v>
      </c>
      <c r="B49" s="101"/>
      <c r="C49" s="101"/>
      <c r="D49" s="101"/>
      <c r="E49" s="105" t="s">
        <v>86</v>
      </c>
      <c r="F49" s="88"/>
      <c r="G49" s="90"/>
      <c r="H49" s="187" t="s">
        <v>100</v>
      </c>
      <c r="I49" s="188"/>
      <c r="J49" s="188"/>
      <c r="K49" s="188"/>
      <c r="L49" s="188"/>
      <c r="M49" s="188"/>
      <c r="N49" s="188"/>
      <c r="O49" s="96">
        <v>118.96</v>
      </c>
    </row>
    <row r="50" spans="1:26" ht="12.95" customHeight="1" x14ac:dyDescent="0.2">
      <c r="A50" s="102" t="s">
        <v>104</v>
      </c>
      <c r="B50" s="103"/>
      <c r="C50" s="103"/>
      <c r="D50" s="103"/>
      <c r="E50" s="106" t="s">
        <v>87</v>
      </c>
      <c r="F50" s="88"/>
      <c r="G50" s="90"/>
      <c r="H50" s="187" t="s">
        <v>105</v>
      </c>
      <c r="I50" s="188"/>
      <c r="J50" s="188"/>
      <c r="K50" s="188"/>
      <c r="L50" s="188"/>
      <c r="M50" s="188"/>
      <c r="N50" s="188"/>
      <c r="O50" s="96">
        <v>116.39</v>
      </c>
    </row>
    <row r="51" spans="1:26" ht="12.95" customHeight="1" x14ac:dyDescent="0.2">
      <c r="A51" s="91"/>
      <c r="B51" s="91"/>
      <c r="C51" s="91"/>
      <c r="D51" s="90"/>
      <c r="E51" s="90"/>
      <c r="F51" s="88"/>
      <c r="G51" s="90"/>
      <c r="H51" s="187" t="s">
        <v>101</v>
      </c>
      <c r="I51" s="188"/>
      <c r="J51" s="188"/>
      <c r="K51" s="188"/>
      <c r="L51" s="188"/>
      <c r="M51" s="188"/>
      <c r="N51" s="188"/>
      <c r="O51" s="96">
        <v>102.21</v>
      </c>
    </row>
    <row r="52" spans="1:26" ht="12.95" customHeight="1" x14ac:dyDescent="0.2">
      <c r="A52" s="140"/>
      <c r="B52" s="140"/>
      <c r="C52" s="141"/>
      <c r="D52" s="90"/>
      <c r="E52" s="90"/>
      <c r="H52" s="191" t="s">
        <v>102</v>
      </c>
      <c r="I52" s="192"/>
      <c r="J52" s="192"/>
      <c r="K52" s="192"/>
      <c r="L52" s="192"/>
      <c r="M52" s="192"/>
      <c r="N52" s="192"/>
      <c r="O52" s="134">
        <v>47.9</v>
      </c>
    </row>
    <row r="53" spans="1:26" ht="15" customHeight="1" x14ac:dyDescent="0.2">
      <c r="A53" s="139"/>
      <c r="B53" s="139"/>
    </row>
    <row r="54" spans="1:26" ht="15" customHeight="1" x14ac:dyDescent="0.2"/>
    <row r="55" spans="1:26" ht="15" customHeight="1" x14ac:dyDescent="0.2">
      <c r="O55" s="142"/>
      <c r="Z55" s="142"/>
    </row>
    <row r="56" spans="1:26" x14ac:dyDescent="0.2">
      <c r="O56" s="142"/>
      <c r="Z56" s="142"/>
    </row>
    <row r="57" spans="1:26" x14ac:dyDescent="0.2">
      <c r="O57" s="142"/>
      <c r="Z57" s="142"/>
    </row>
    <row r="58" spans="1:26" x14ac:dyDescent="0.2">
      <c r="O58" s="142"/>
      <c r="Z58" s="142"/>
    </row>
  </sheetData>
  <sheetProtection selectLockedCells="1" selectUnlockedCells="1"/>
  <autoFilter ref="A3:O53" xr:uid="{00000000-0009-0000-0000-000009000000}"/>
  <mergeCells count="11">
    <mergeCell ref="E2:O2"/>
    <mergeCell ref="U2:Z2"/>
    <mergeCell ref="H50:N50"/>
    <mergeCell ref="H51:N51"/>
    <mergeCell ref="H52:N52"/>
    <mergeCell ref="R3:S3"/>
    <mergeCell ref="H45:N45"/>
    <mergeCell ref="H46:N46"/>
    <mergeCell ref="H47:N47"/>
    <mergeCell ref="H48:N48"/>
    <mergeCell ref="H49:N49"/>
  </mergeCells>
  <printOptions horizontalCentered="1"/>
  <pageMargins left="0.15748031496062992" right="0.15748031496062992" top="0.37" bottom="0.15748031496062992" header="0.17" footer="0.15748031496062992"/>
  <pageSetup paperSize="9" scale="70" orientation="landscape" r:id="rId1"/>
  <headerFooter alignWithMargins="0">
    <oddHeader>&amp;C&amp;"Calibri,Negrita"&amp;12&amp;ETABLA SALARIAL CONVENIO SERVICIOS SECURITAS, S.A. 2019</oddHeader>
  </headerFooter>
  <rowBreaks count="1" manualBreakCount="1">
    <brk id="43" max="16383" man="1"/>
  </row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242B5-D740-42A3-BD33-1EC6845F0170}">
  <sheetPr>
    <pageSetUpPr fitToPage="1"/>
  </sheetPr>
  <dimension ref="A1:AH51"/>
  <sheetViews>
    <sheetView zoomScaleNormal="100" workbookViewId="0">
      <pane ySplit="3" topLeftCell="A25" activePane="bottomLeft" state="frozen"/>
      <selection pane="bottomLeft" activeCell="X49" sqref="X49"/>
    </sheetView>
  </sheetViews>
  <sheetFormatPr baseColWidth="10" defaultColWidth="10.140625" defaultRowHeight="12.75" x14ac:dyDescent="0.2"/>
  <cols>
    <col min="1" max="1" width="9" style="73" customWidth="1"/>
    <col min="2" max="2" width="6.42578125" style="136" bestFit="1" customWidth="1"/>
    <col min="3" max="3" width="6.42578125" style="136" customWidth="1"/>
    <col min="4" max="4" width="9.7109375" style="136" bestFit="1" customWidth="1"/>
    <col min="5" max="5" width="42.28515625" style="73" bestFit="1" customWidth="1"/>
    <col min="6" max="6" width="9.85546875" style="73" customWidth="1"/>
    <col min="7" max="7" width="10.7109375" style="73" hidden="1" customWidth="1"/>
    <col min="8" max="8" width="9.7109375" style="73" hidden="1" customWidth="1"/>
    <col min="9" max="9" width="7.140625" style="73" customWidth="1"/>
    <col min="10" max="10" width="9.85546875" style="73" hidden="1" customWidth="1"/>
    <col min="11" max="11" width="6.42578125" style="73" customWidth="1"/>
    <col min="12" max="12" width="10.7109375" style="73" hidden="1" customWidth="1"/>
    <col min="13" max="13" width="7.28515625" style="73" customWidth="1"/>
    <col min="14" max="14" width="10.7109375" style="73" hidden="1" customWidth="1"/>
    <col min="15" max="16" width="9.85546875" style="73" customWidth="1"/>
    <col min="17" max="17" width="7.5703125" style="73" hidden="1" customWidth="1"/>
    <col min="18" max="18" width="11.5703125" style="73" hidden="1" customWidth="1"/>
    <col min="19" max="19" width="8.85546875" style="73" hidden="1" customWidth="1"/>
    <col min="20" max="20" width="6.85546875" style="73" hidden="1" customWidth="1"/>
    <col min="21" max="21" width="2" style="73" customWidth="1"/>
    <col min="22" max="22" width="9.85546875" style="73" customWidth="1"/>
    <col min="23" max="23" width="9.42578125" style="73" hidden="1" customWidth="1"/>
    <col min="24" max="24" width="6.42578125" style="73" bestFit="1" customWidth="1"/>
    <col min="25" max="25" width="8.42578125" style="73" hidden="1" customWidth="1"/>
    <col min="26" max="27" width="9.85546875" style="73" customWidth="1"/>
    <col min="28" max="28" width="10.140625" style="73"/>
    <col min="29" max="29" width="7" style="73" bestFit="1" customWidth="1"/>
    <col min="30" max="16384" width="10.140625" style="73"/>
  </cols>
  <sheetData>
    <row r="1" spans="1:34" s="169" customFormat="1" ht="18" customHeight="1" x14ac:dyDescent="0.25">
      <c r="B1" s="167" t="s">
        <v>114</v>
      </c>
      <c r="C1" s="168"/>
      <c r="D1" s="168"/>
    </row>
    <row r="2" spans="1:34" s="165" customFormat="1" ht="24.95" customHeight="1" x14ac:dyDescent="0.2">
      <c r="B2" s="164"/>
      <c r="C2" s="164"/>
      <c r="D2" s="164"/>
      <c r="F2" s="194" t="s">
        <v>117</v>
      </c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66"/>
      <c r="R2" s="166"/>
      <c r="S2" s="166"/>
      <c r="T2" s="166"/>
      <c r="U2" s="166"/>
      <c r="V2" s="194" t="s">
        <v>118</v>
      </c>
      <c r="W2" s="194"/>
      <c r="X2" s="194"/>
      <c r="Y2" s="194"/>
      <c r="Z2" s="194"/>
      <c r="AA2" s="194"/>
    </row>
    <row r="3" spans="1:34" s="137" customFormat="1" ht="39.75" customHeight="1" x14ac:dyDescent="0.2">
      <c r="A3" s="183" t="s">
        <v>144</v>
      </c>
      <c r="B3" s="130" t="s">
        <v>69</v>
      </c>
      <c r="C3" s="130" t="s">
        <v>70</v>
      </c>
      <c r="D3" s="130" t="s">
        <v>0</v>
      </c>
      <c r="E3" s="131" t="s">
        <v>1</v>
      </c>
      <c r="F3" s="132" t="s">
        <v>2</v>
      </c>
      <c r="G3" s="74">
        <v>110021</v>
      </c>
      <c r="H3" s="74">
        <v>122520</v>
      </c>
      <c r="I3" s="132" t="s">
        <v>3</v>
      </c>
      <c r="J3" s="75">
        <v>15220</v>
      </c>
      <c r="K3" s="132" t="s">
        <v>4</v>
      </c>
      <c r="L3" s="75">
        <v>116220</v>
      </c>
      <c r="M3" s="132" t="s">
        <v>5</v>
      </c>
      <c r="N3" s="74">
        <v>117520</v>
      </c>
      <c r="O3" s="180" t="s">
        <v>62</v>
      </c>
      <c r="P3" s="132" t="s">
        <v>63</v>
      </c>
      <c r="Q3" s="160" t="s">
        <v>111</v>
      </c>
      <c r="R3" s="154" t="s">
        <v>112</v>
      </c>
      <c r="S3" s="198" t="s">
        <v>113</v>
      </c>
      <c r="T3" s="199"/>
      <c r="V3" s="132" t="s">
        <v>2</v>
      </c>
      <c r="W3" s="74">
        <v>110021</v>
      </c>
      <c r="X3" s="132" t="s">
        <v>5</v>
      </c>
      <c r="Y3" s="74">
        <v>117520</v>
      </c>
      <c r="Z3" s="180" t="s">
        <v>62</v>
      </c>
      <c r="AA3" s="132" t="s">
        <v>63</v>
      </c>
    </row>
    <row r="4" spans="1:34" ht="18" customHeight="1" x14ac:dyDescent="0.2">
      <c r="B4" s="76"/>
      <c r="C4" s="76"/>
      <c r="D4" s="76"/>
      <c r="E4" s="123" t="s">
        <v>13</v>
      </c>
      <c r="F4" s="77"/>
      <c r="G4" s="78"/>
      <c r="H4" s="78"/>
      <c r="I4" s="77"/>
      <c r="J4" s="78"/>
      <c r="K4" s="77"/>
      <c r="L4" s="78"/>
      <c r="M4" s="77"/>
      <c r="N4" s="77"/>
      <c r="O4" s="77"/>
      <c r="P4" s="77"/>
      <c r="V4" s="77"/>
      <c r="W4" s="78"/>
      <c r="X4" s="77"/>
      <c r="Y4" s="77"/>
      <c r="Z4" s="77"/>
      <c r="AA4" s="77"/>
    </row>
    <row r="5" spans="1:34" ht="14.1" customHeight="1" x14ac:dyDescent="0.2">
      <c r="A5" s="184" t="s">
        <v>145</v>
      </c>
      <c r="B5" s="80">
        <v>1</v>
      </c>
      <c r="C5" s="80" t="s">
        <v>71</v>
      </c>
      <c r="D5" s="107">
        <v>2102</v>
      </c>
      <c r="E5" s="97" t="s">
        <v>14</v>
      </c>
      <c r="F5" s="110">
        <v>1559.8</v>
      </c>
      <c r="G5" s="143">
        <f t="shared" ref="G5:G19" si="0">F5/30</f>
        <v>51.993333333333332</v>
      </c>
      <c r="H5" s="143" t="e">
        <f>+#REF!/30</f>
        <v>#REF!</v>
      </c>
      <c r="I5" s="110">
        <v>69.38</v>
      </c>
      <c r="J5" s="145">
        <f t="shared" ref="J5:J25" si="1">I5/30</f>
        <v>2.3126666666666664</v>
      </c>
      <c r="K5" s="113"/>
      <c r="L5" s="114"/>
      <c r="M5" s="113"/>
      <c r="N5" s="113"/>
      <c r="O5" s="115">
        <f t="shared" ref="O5:O12" si="2">+M5+K5+I5+F5</f>
        <v>1629.1799999999998</v>
      </c>
      <c r="P5" s="113">
        <f t="shared" ref="P5:P12" si="3">((F5+M5)*14)+((I5+K5)*12)</f>
        <v>22669.760000000002</v>
      </c>
      <c r="Q5" s="155">
        <v>12600</v>
      </c>
      <c r="R5" s="156">
        <f t="shared" ref="R5:R12" si="4">+P5-Q5</f>
        <v>10069.760000000002</v>
      </c>
      <c r="S5" s="155"/>
      <c r="T5" s="155"/>
      <c r="V5" s="110">
        <v>1619.27</v>
      </c>
      <c r="W5" s="143">
        <f t="shared" ref="W5:W12" si="5">V5/30</f>
        <v>53.975666666666669</v>
      </c>
      <c r="X5" s="113"/>
      <c r="Y5" s="113"/>
      <c r="Z5" s="115">
        <f t="shared" ref="Z5:Z12" si="6">+V5+X5</f>
        <v>1619.27</v>
      </c>
      <c r="AA5" s="113">
        <f>+Z5*14</f>
        <v>22669.78</v>
      </c>
      <c r="AD5" s="142"/>
      <c r="AE5" s="142"/>
      <c r="AG5" s="142"/>
      <c r="AH5" s="142"/>
    </row>
    <row r="6" spans="1:34" ht="14.1" customHeight="1" x14ac:dyDescent="0.2">
      <c r="A6" s="184" t="s">
        <v>145</v>
      </c>
      <c r="B6" s="80">
        <v>1</v>
      </c>
      <c r="C6" s="80" t="s">
        <v>71</v>
      </c>
      <c r="D6" s="107">
        <v>2105</v>
      </c>
      <c r="E6" s="97" t="s">
        <v>15</v>
      </c>
      <c r="F6" s="110">
        <v>1483.11</v>
      </c>
      <c r="G6" s="143">
        <f t="shared" si="0"/>
        <v>49.436999999999998</v>
      </c>
      <c r="H6" s="143" t="e">
        <f>+#REF!/30</f>
        <v>#REF!</v>
      </c>
      <c r="I6" s="110">
        <v>69.38</v>
      </c>
      <c r="J6" s="145">
        <f t="shared" si="1"/>
        <v>2.3126666666666664</v>
      </c>
      <c r="K6" s="113"/>
      <c r="L6" s="114"/>
      <c r="M6" s="113"/>
      <c r="N6" s="113"/>
      <c r="O6" s="115">
        <f t="shared" si="2"/>
        <v>1552.4899999999998</v>
      </c>
      <c r="P6" s="113">
        <f t="shared" si="3"/>
        <v>21596.1</v>
      </c>
      <c r="Q6" s="155">
        <v>12600</v>
      </c>
      <c r="R6" s="156">
        <f t="shared" si="4"/>
        <v>8996.0999999999985</v>
      </c>
      <c r="S6" s="155"/>
      <c r="T6" s="155"/>
      <c r="V6" s="110">
        <v>1542.58</v>
      </c>
      <c r="W6" s="143">
        <f t="shared" si="5"/>
        <v>51.419333333333334</v>
      </c>
      <c r="X6" s="113"/>
      <c r="Y6" s="113"/>
      <c r="Z6" s="115">
        <f t="shared" si="6"/>
        <v>1542.58</v>
      </c>
      <c r="AA6" s="113">
        <f t="shared" ref="AA6:AA25" si="7">+Z6*14</f>
        <v>21596.12</v>
      </c>
    </row>
    <row r="7" spans="1:34" ht="14.1" customHeight="1" x14ac:dyDescent="0.2">
      <c r="A7" s="184" t="s">
        <v>145</v>
      </c>
      <c r="B7" s="80">
        <v>1</v>
      </c>
      <c r="C7" s="80" t="s">
        <v>71</v>
      </c>
      <c r="D7" s="107">
        <v>2109</v>
      </c>
      <c r="E7" s="97" t="s">
        <v>16</v>
      </c>
      <c r="F7" s="110">
        <v>1483.11</v>
      </c>
      <c r="G7" s="143">
        <f t="shared" si="0"/>
        <v>49.436999999999998</v>
      </c>
      <c r="H7" s="143" t="e">
        <f>+#REF!/30</f>
        <v>#REF!</v>
      </c>
      <c r="I7" s="110">
        <v>69.38</v>
      </c>
      <c r="J7" s="145">
        <f t="shared" si="1"/>
        <v>2.3126666666666664</v>
      </c>
      <c r="K7" s="113"/>
      <c r="L7" s="114"/>
      <c r="M7" s="113"/>
      <c r="N7" s="113"/>
      <c r="O7" s="115">
        <f t="shared" si="2"/>
        <v>1552.4899999999998</v>
      </c>
      <c r="P7" s="113">
        <f t="shared" si="3"/>
        <v>21596.1</v>
      </c>
      <c r="Q7" s="155">
        <v>12600</v>
      </c>
      <c r="R7" s="156">
        <f t="shared" si="4"/>
        <v>8996.0999999999985</v>
      </c>
      <c r="S7" s="155"/>
      <c r="T7" s="155"/>
      <c r="V7" s="110">
        <v>1542.58</v>
      </c>
      <c r="W7" s="143">
        <f t="shared" si="5"/>
        <v>51.419333333333334</v>
      </c>
      <c r="X7" s="113"/>
      <c r="Y7" s="113"/>
      <c r="Z7" s="115">
        <f t="shared" si="6"/>
        <v>1542.58</v>
      </c>
      <c r="AA7" s="113">
        <f t="shared" si="7"/>
        <v>21596.12</v>
      </c>
    </row>
    <row r="8" spans="1:34" ht="14.1" customHeight="1" x14ac:dyDescent="0.2">
      <c r="A8" s="184" t="s">
        <v>145</v>
      </c>
      <c r="B8" s="80">
        <v>1</v>
      </c>
      <c r="C8" s="80" t="s">
        <v>71</v>
      </c>
      <c r="D8" s="107">
        <v>2103</v>
      </c>
      <c r="E8" s="97" t="s">
        <v>46</v>
      </c>
      <c r="F8" s="110">
        <v>1483.11</v>
      </c>
      <c r="G8" s="143">
        <f t="shared" si="0"/>
        <v>49.436999999999998</v>
      </c>
      <c r="H8" s="143" t="e">
        <f>+#REF!/30</f>
        <v>#REF!</v>
      </c>
      <c r="I8" s="110">
        <v>69.38</v>
      </c>
      <c r="J8" s="145">
        <f t="shared" si="1"/>
        <v>2.3126666666666664</v>
      </c>
      <c r="K8" s="113"/>
      <c r="L8" s="114"/>
      <c r="M8" s="113"/>
      <c r="N8" s="113"/>
      <c r="O8" s="115">
        <f t="shared" si="2"/>
        <v>1552.4899999999998</v>
      </c>
      <c r="P8" s="113">
        <f t="shared" si="3"/>
        <v>21596.1</v>
      </c>
      <c r="Q8" s="155">
        <v>12600</v>
      </c>
      <c r="R8" s="156">
        <f t="shared" si="4"/>
        <v>8996.0999999999985</v>
      </c>
      <c r="S8" s="155"/>
      <c r="T8" s="155"/>
      <c r="V8" s="110">
        <v>1542.58</v>
      </c>
      <c r="W8" s="143">
        <f t="shared" si="5"/>
        <v>51.419333333333334</v>
      </c>
      <c r="X8" s="113"/>
      <c r="Y8" s="113"/>
      <c r="Z8" s="115">
        <f t="shared" si="6"/>
        <v>1542.58</v>
      </c>
      <c r="AA8" s="113">
        <f t="shared" si="7"/>
        <v>21596.12</v>
      </c>
    </row>
    <row r="9" spans="1:34" ht="14.1" customHeight="1" x14ac:dyDescent="0.2">
      <c r="A9" s="184" t="s">
        <v>145</v>
      </c>
      <c r="B9" s="80">
        <v>3</v>
      </c>
      <c r="C9" s="80" t="s">
        <v>71</v>
      </c>
      <c r="D9" s="107">
        <v>2122</v>
      </c>
      <c r="E9" s="97" t="s">
        <v>17</v>
      </c>
      <c r="F9" s="110">
        <v>1410.41</v>
      </c>
      <c r="G9" s="143">
        <f t="shared" si="0"/>
        <v>47.013666666666673</v>
      </c>
      <c r="H9" s="143" t="e">
        <f>+#REF!/30</f>
        <v>#REF!</v>
      </c>
      <c r="I9" s="110">
        <v>69.38</v>
      </c>
      <c r="J9" s="145">
        <f t="shared" si="1"/>
        <v>2.3126666666666664</v>
      </c>
      <c r="K9" s="113"/>
      <c r="L9" s="114"/>
      <c r="M9" s="113"/>
      <c r="N9" s="113"/>
      <c r="O9" s="115">
        <f t="shared" si="2"/>
        <v>1479.79</v>
      </c>
      <c r="P9" s="113">
        <f t="shared" si="3"/>
        <v>20578.300000000003</v>
      </c>
      <c r="Q9" s="155">
        <v>12600</v>
      </c>
      <c r="R9" s="156">
        <f t="shared" si="4"/>
        <v>7978.3000000000029</v>
      </c>
      <c r="S9" s="155"/>
      <c r="T9" s="155"/>
      <c r="V9" s="110">
        <v>1469.88</v>
      </c>
      <c r="W9" s="143">
        <f t="shared" si="5"/>
        <v>48.996000000000002</v>
      </c>
      <c r="X9" s="113"/>
      <c r="Y9" s="113"/>
      <c r="Z9" s="115">
        <f t="shared" si="6"/>
        <v>1469.88</v>
      </c>
      <c r="AA9" s="113">
        <f t="shared" si="7"/>
        <v>20578.32</v>
      </c>
    </row>
    <row r="10" spans="1:34" ht="14.1" customHeight="1" x14ac:dyDescent="0.2">
      <c r="A10" s="184" t="s">
        <v>145</v>
      </c>
      <c r="B10" s="80">
        <v>1</v>
      </c>
      <c r="C10" s="80" t="s">
        <v>71</v>
      </c>
      <c r="D10" s="107">
        <v>2126</v>
      </c>
      <c r="E10" s="97" t="s">
        <v>47</v>
      </c>
      <c r="F10" s="110">
        <v>1410.41</v>
      </c>
      <c r="G10" s="143">
        <f t="shared" si="0"/>
        <v>47.013666666666673</v>
      </c>
      <c r="H10" s="143" t="e">
        <f>+#REF!/30</f>
        <v>#REF!</v>
      </c>
      <c r="I10" s="110">
        <v>69.38</v>
      </c>
      <c r="J10" s="145">
        <f t="shared" si="1"/>
        <v>2.3126666666666664</v>
      </c>
      <c r="K10" s="113"/>
      <c r="L10" s="114"/>
      <c r="M10" s="113"/>
      <c r="N10" s="113"/>
      <c r="O10" s="115">
        <f t="shared" si="2"/>
        <v>1479.79</v>
      </c>
      <c r="P10" s="113">
        <f t="shared" si="3"/>
        <v>20578.300000000003</v>
      </c>
      <c r="Q10" s="155">
        <v>12600</v>
      </c>
      <c r="R10" s="156">
        <f t="shared" si="4"/>
        <v>7978.3000000000029</v>
      </c>
      <c r="S10" s="155"/>
      <c r="T10" s="155"/>
      <c r="V10" s="110">
        <v>1469.88</v>
      </c>
      <c r="W10" s="143">
        <f t="shared" si="5"/>
        <v>48.996000000000002</v>
      </c>
      <c r="X10" s="113"/>
      <c r="Y10" s="113"/>
      <c r="Z10" s="115">
        <f t="shared" si="6"/>
        <v>1469.88</v>
      </c>
      <c r="AA10" s="113">
        <f t="shared" si="7"/>
        <v>20578.32</v>
      </c>
    </row>
    <row r="11" spans="1:34" ht="14.1" customHeight="1" x14ac:dyDescent="0.2">
      <c r="A11" s="184" t="s">
        <v>145</v>
      </c>
      <c r="B11" s="80">
        <v>1</v>
      </c>
      <c r="C11" s="80" t="s">
        <v>71</v>
      </c>
      <c r="D11" s="107">
        <v>2113</v>
      </c>
      <c r="E11" s="97" t="s">
        <v>18</v>
      </c>
      <c r="F11" s="110">
        <v>1410.41</v>
      </c>
      <c r="G11" s="143">
        <f t="shared" si="0"/>
        <v>47.013666666666673</v>
      </c>
      <c r="H11" s="143" t="e">
        <f>+#REF!/30</f>
        <v>#REF!</v>
      </c>
      <c r="I11" s="110">
        <v>69.38</v>
      </c>
      <c r="J11" s="145">
        <f t="shared" si="1"/>
        <v>2.3126666666666664</v>
      </c>
      <c r="K11" s="113"/>
      <c r="L11" s="114"/>
      <c r="M11" s="113"/>
      <c r="N11" s="113"/>
      <c r="O11" s="115">
        <f t="shared" si="2"/>
        <v>1479.79</v>
      </c>
      <c r="P11" s="113">
        <f t="shared" si="3"/>
        <v>20578.300000000003</v>
      </c>
      <c r="Q11" s="155">
        <v>12600</v>
      </c>
      <c r="R11" s="156">
        <f t="shared" si="4"/>
        <v>7978.3000000000029</v>
      </c>
      <c r="S11" s="155"/>
      <c r="T11" s="155"/>
      <c r="V11" s="110">
        <v>1469.88</v>
      </c>
      <c r="W11" s="143">
        <f t="shared" si="5"/>
        <v>48.996000000000002</v>
      </c>
      <c r="X11" s="113"/>
      <c r="Y11" s="113"/>
      <c r="Z11" s="115">
        <f t="shared" si="6"/>
        <v>1469.88</v>
      </c>
      <c r="AA11" s="113">
        <f t="shared" si="7"/>
        <v>20578.32</v>
      </c>
    </row>
    <row r="12" spans="1:34" ht="14.1" customHeight="1" x14ac:dyDescent="0.2">
      <c r="A12" s="184" t="s">
        <v>145</v>
      </c>
      <c r="B12" s="80">
        <v>2</v>
      </c>
      <c r="C12" s="80" t="s">
        <v>71</v>
      </c>
      <c r="D12" s="107">
        <v>2114</v>
      </c>
      <c r="E12" s="97" t="s">
        <v>19</v>
      </c>
      <c r="F12" s="110">
        <v>1341.37</v>
      </c>
      <c r="G12" s="143">
        <f t="shared" si="0"/>
        <v>44.712333333333326</v>
      </c>
      <c r="H12" s="143" t="e">
        <f>+#REF!/30</f>
        <v>#REF!</v>
      </c>
      <c r="I12" s="110">
        <v>69.38</v>
      </c>
      <c r="J12" s="145">
        <f t="shared" si="1"/>
        <v>2.3126666666666664</v>
      </c>
      <c r="K12" s="113"/>
      <c r="L12" s="114"/>
      <c r="M12" s="113"/>
      <c r="N12" s="113"/>
      <c r="O12" s="115">
        <f t="shared" si="2"/>
        <v>1410.75</v>
      </c>
      <c r="P12" s="113">
        <f t="shared" si="3"/>
        <v>19611.740000000002</v>
      </c>
      <c r="Q12" s="155">
        <v>12600</v>
      </c>
      <c r="R12" s="156">
        <f t="shared" si="4"/>
        <v>7011.7400000000016</v>
      </c>
      <c r="S12" s="155"/>
      <c r="T12" s="155"/>
      <c r="V12" s="110">
        <v>1400.84</v>
      </c>
      <c r="W12" s="143">
        <f t="shared" si="5"/>
        <v>46.694666666666663</v>
      </c>
      <c r="X12" s="113"/>
      <c r="Y12" s="113"/>
      <c r="Z12" s="115">
        <f t="shared" si="6"/>
        <v>1400.84</v>
      </c>
      <c r="AA12" s="113">
        <f t="shared" si="7"/>
        <v>19611.759999999998</v>
      </c>
    </row>
    <row r="13" spans="1:34" ht="18" customHeight="1" x14ac:dyDescent="0.2">
      <c r="B13" s="76"/>
      <c r="C13" s="76"/>
      <c r="D13" s="76"/>
      <c r="E13" s="123" t="s">
        <v>20</v>
      </c>
      <c r="F13" s="77"/>
      <c r="G13" s="78"/>
      <c r="H13" s="78"/>
      <c r="I13" s="77"/>
      <c r="J13" s="78"/>
      <c r="K13" s="77"/>
      <c r="L13" s="78"/>
      <c r="M13" s="77"/>
      <c r="N13" s="77"/>
      <c r="O13" s="77"/>
      <c r="P13" s="77"/>
      <c r="V13" s="77"/>
      <c r="W13" s="78"/>
      <c r="X13" s="77"/>
      <c r="Y13" s="77"/>
      <c r="Z13" s="77"/>
      <c r="AA13" s="77"/>
    </row>
    <row r="14" spans="1:34" ht="14.1" customHeight="1" x14ac:dyDescent="0.2">
      <c r="A14" s="184" t="s">
        <v>145</v>
      </c>
      <c r="B14" s="80">
        <v>3</v>
      </c>
      <c r="C14" s="80" t="s">
        <v>71</v>
      </c>
      <c r="D14" s="107">
        <v>2201</v>
      </c>
      <c r="E14" s="97" t="s">
        <v>21</v>
      </c>
      <c r="F14" s="110">
        <v>1348.36</v>
      </c>
      <c r="G14" s="143">
        <f t="shared" si="0"/>
        <v>44.94533333333333</v>
      </c>
      <c r="H14" s="143" t="e">
        <f>+#REF!/30</f>
        <v>#REF!</v>
      </c>
      <c r="I14" s="110">
        <v>69.38</v>
      </c>
      <c r="J14" s="145">
        <f t="shared" si="1"/>
        <v>2.3126666666666664</v>
      </c>
      <c r="K14" s="113"/>
      <c r="L14" s="114"/>
      <c r="M14" s="113"/>
      <c r="N14" s="113"/>
      <c r="O14" s="115">
        <f t="shared" ref="O14:O19" si="8">+M14+K14+I14+F14</f>
        <v>1417.7399999999998</v>
      </c>
      <c r="P14" s="113">
        <f t="shared" ref="P14:P19" si="9">((F14+M14)*14)+((I14+K14)*12)</f>
        <v>19709.599999999999</v>
      </c>
      <c r="Q14" s="155">
        <v>12600</v>
      </c>
      <c r="R14" s="156">
        <f t="shared" ref="R14:R19" si="10">+P14-Q14</f>
        <v>7109.5999999999985</v>
      </c>
      <c r="S14" s="155"/>
      <c r="T14" s="155"/>
      <c r="V14" s="110">
        <v>1407.83</v>
      </c>
      <c r="W14" s="143">
        <f t="shared" ref="W14:W19" si="11">V14/30</f>
        <v>46.927666666666667</v>
      </c>
      <c r="X14" s="113"/>
      <c r="Y14" s="113"/>
      <c r="Z14" s="115">
        <f t="shared" ref="Z14:Z19" si="12">+V14+X14</f>
        <v>1407.83</v>
      </c>
      <c r="AA14" s="113">
        <f t="shared" si="7"/>
        <v>19709.62</v>
      </c>
    </row>
    <row r="15" spans="1:34" ht="14.1" customHeight="1" x14ac:dyDescent="0.2">
      <c r="A15" s="184" t="s">
        <v>145</v>
      </c>
      <c r="B15" s="80">
        <v>3</v>
      </c>
      <c r="C15" s="80" t="s">
        <v>71</v>
      </c>
      <c r="D15" s="107">
        <v>2202</v>
      </c>
      <c r="E15" s="97" t="s">
        <v>22</v>
      </c>
      <c r="F15" s="110">
        <v>1208.0899999999999</v>
      </c>
      <c r="G15" s="143">
        <f t="shared" si="0"/>
        <v>40.269666666666666</v>
      </c>
      <c r="H15" s="143" t="e">
        <f>+#REF!/30</f>
        <v>#REF!</v>
      </c>
      <c r="I15" s="110">
        <v>69.38</v>
      </c>
      <c r="J15" s="145">
        <f t="shared" si="1"/>
        <v>2.3126666666666664</v>
      </c>
      <c r="K15" s="113"/>
      <c r="L15" s="114"/>
      <c r="M15" s="113"/>
      <c r="N15" s="113"/>
      <c r="O15" s="115">
        <f t="shared" si="8"/>
        <v>1277.4699999999998</v>
      </c>
      <c r="P15" s="113">
        <f t="shared" si="9"/>
        <v>17745.82</v>
      </c>
      <c r="Q15" s="155">
        <v>12600</v>
      </c>
      <c r="R15" s="156">
        <f t="shared" si="10"/>
        <v>5145.82</v>
      </c>
      <c r="S15" s="155"/>
      <c r="T15" s="155"/>
      <c r="V15" s="110">
        <v>1267.56</v>
      </c>
      <c r="W15" s="143">
        <f t="shared" si="11"/>
        <v>42.251999999999995</v>
      </c>
      <c r="X15" s="113"/>
      <c r="Y15" s="113"/>
      <c r="Z15" s="115">
        <f t="shared" si="12"/>
        <v>1267.56</v>
      </c>
      <c r="AA15" s="113">
        <f t="shared" si="7"/>
        <v>17745.84</v>
      </c>
    </row>
    <row r="16" spans="1:34" ht="14.1" customHeight="1" x14ac:dyDescent="0.2">
      <c r="A16" s="184" t="s">
        <v>145</v>
      </c>
      <c r="B16" s="80">
        <v>5</v>
      </c>
      <c r="C16" s="80" t="s">
        <v>71</v>
      </c>
      <c r="D16" s="107">
        <v>2203</v>
      </c>
      <c r="E16" s="97" t="s">
        <v>23</v>
      </c>
      <c r="F16" s="110">
        <v>995.93</v>
      </c>
      <c r="G16" s="143">
        <f t="shared" si="0"/>
        <v>33.197666666666663</v>
      </c>
      <c r="H16" s="143" t="e">
        <f>+#REF!/30</f>
        <v>#REF!</v>
      </c>
      <c r="I16" s="110">
        <v>69.38</v>
      </c>
      <c r="J16" s="145">
        <f t="shared" si="1"/>
        <v>2.3126666666666664</v>
      </c>
      <c r="K16" s="113"/>
      <c r="L16" s="114"/>
      <c r="M16" s="113"/>
      <c r="N16" s="113"/>
      <c r="O16" s="115">
        <f t="shared" si="8"/>
        <v>1065.31</v>
      </c>
      <c r="P16" s="113">
        <f t="shared" si="9"/>
        <v>14775.579999999998</v>
      </c>
      <c r="Q16" s="155">
        <v>12600</v>
      </c>
      <c r="R16" s="156">
        <f t="shared" si="10"/>
        <v>2175.5799999999981</v>
      </c>
      <c r="S16" s="155"/>
      <c r="T16" s="155"/>
      <c r="V16" s="110">
        <v>1055.4000000000001</v>
      </c>
      <c r="W16" s="143">
        <f t="shared" si="11"/>
        <v>35.18</v>
      </c>
      <c r="X16" s="113"/>
      <c r="Y16" s="113"/>
      <c r="Z16" s="115">
        <f t="shared" si="12"/>
        <v>1055.4000000000001</v>
      </c>
      <c r="AA16" s="113">
        <f t="shared" si="7"/>
        <v>14775.600000000002</v>
      </c>
    </row>
    <row r="17" spans="1:27" ht="14.1" customHeight="1" x14ac:dyDescent="0.2">
      <c r="A17" s="184" t="s">
        <v>145</v>
      </c>
      <c r="B17" s="80">
        <v>5</v>
      </c>
      <c r="C17" s="80" t="s">
        <v>71</v>
      </c>
      <c r="D17" s="107">
        <v>2204</v>
      </c>
      <c r="E17" s="97" t="s">
        <v>24</v>
      </c>
      <c r="F17" s="110">
        <v>915.62</v>
      </c>
      <c r="G17" s="143">
        <f t="shared" si="0"/>
        <v>30.520666666666667</v>
      </c>
      <c r="H17" s="143" t="e">
        <f>+#REF!/30</f>
        <v>#REF!</v>
      </c>
      <c r="I17" s="110">
        <v>69.38</v>
      </c>
      <c r="J17" s="145">
        <f t="shared" si="1"/>
        <v>2.3126666666666664</v>
      </c>
      <c r="K17" s="113"/>
      <c r="L17" s="114"/>
      <c r="M17" s="113"/>
      <c r="N17" s="113"/>
      <c r="O17" s="115">
        <f t="shared" si="8"/>
        <v>985</v>
      </c>
      <c r="P17" s="113">
        <f t="shared" si="9"/>
        <v>13651.24</v>
      </c>
      <c r="Q17" s="155">
        <v>12600</v>
      </c>
      <c r="R17" s="156">
        <f t="shared" si="10"/>
        <v>1051.2399999999998</v>
      </c>
      <c r="S17" s="155"/>
      <c r="T17" s="155"/>
      <c r="V17" s="110">
        <v>975.09</v>
      </c>
      <c r="W17" s="143">
        <f t="shared" si="11"/>
        <v>32.503</v>
      </c>
      <c r="X17" s="113"/>
      <c r="Y17" s="113"/>
      <c r="Z17" s="115">
        <f t="shared" si="12"/>
        <v>975.09</v>
      </c>
      <c r="AA17" s="113">
        <f t="shared" si="7"/>
        <v>13651.26</v>
      </c>
    </row>
    <row r="18" spans="1:27" ht="14.1" customHeight="1" x14ac:dyDescent="0.2">
      <c r="A18" s="184" t="s">
        <v>145</v>
      </c>
      <c r="B18" s="82">
        <v>7</v>
      </c>
      <c r="C18" s="82" t="s">
        <v>71</v>
      </c>
      <c r="D18" s="109">
        <v>2206</v>
      </c>
      <c r="E18" s="87" t="s">
        <v>25</v>
      </c>
      <c r="F18" s="110">
        <v>868.74</v>
      </c>
      <c r="G18" s="143">
        <f t="shared" si="0"/>
        <v>28.958000000000002</v>
      </c>
      <c r="H18" s="143" t="e">
        <f>+#REF!/30</f>
        <v>#REF!</v>
      </c>
      <c r="I18" s="110">
        <v>36.47</v>
      </c>
      <c r="J18" s="145">
        <f t="shared" si="1"/>
        <v>1.2156666666666667</v>
      </c>
      <c r="K18" s="113"/>
      <c r="L18" s="114"/>
      <c r="M18" s="113"/>
      <c r="N18" s="113"/>
      <c r="O18" s="115">
        <f t="shared" si="8"/>
        <v>905.21</v>
      </c>
      <c r="P18" s="113">
        <f t="shared" si="9"/>
        <v>12600</v>
      </c>
      <c r="Q18" s="155">
        <v>12600</v>
      </c>
      <c r="R18" s="156">
        <f t="shared" si="10"/>
        <v>0</v>
      </c>
      <c r="S18" s="156" t="e">
        <f>+F18+#REF!+I18+K18+M18</f>
        <v>#REF!</v>
      </c>
      <c r="T18" s="155" t="e">
        <f>((F18+#REF!+M18)*14+(I18+K18)*12)</f>
        <v>#REF!</v>
      </c>
      <c r="V18" s="110">
        <v>900</v>
      </c>
      <c r="W18" s="143">
        <f t="shared" si="11"/>
        <v>30</v>
      </c>
      <c r="X18" s="113"/>
      <c r="Y18" s="113"/>
      <c r="Z18" s="115">
        <f t="shared" si="12"/>
        <v>900</v>
      </c>
      <c r="AA18" s="113">
        <f t="shared" si="7"/>
        <v>12600</v>
      </c>
    </row>
    <row r="19" spans="1:27" ht="14.1" customHeight="1" x14ac:dyDescent="0.2">
      <c r="A19" s="184" t="s">
        <v>145</v>
      </c>
      <c r="B19" s="82">
        <v>7</v>
      </c>
      <c r="C19" s="82" t="s">
        <v>72</v>
      </c>
      <c r="D19" s="109"/>
      <c r="E19" s="87" t="s">
        <v>60</v>
      </c>
      <c r="F19" s="110">
        <v>868.74</v>
      </c>
      <c r="G19" s="143">
        <f t="shared" si="0"/>
        <v>28.958000000000002</v>
      </c>
      <c r="H19" s="143" t="e">
        <f>+#REF!/30</f>
        <v>#REF!</v>
      </c>
      <c r="I19" s="110">
        <v>36.47</v>
      </c>
      <c r="J19" s="145">
        <f t="shared" si="1"/>
        <v>1.2156666666666667</v>
      </c>
      <c r="K19" s="113"/>
      <c r="L19" s="114"/>
      <c r="M19" s="113"/>
      <c r="N19" s="113"/>
      <c r="O19" s="115">
        <f t="shared" si="8"/>
        <v>905.21</v>
      </c>
      <c r="P19" s="113">
        <f t="shared" si="9"/>
        <v>12600</v>
      </c>
      <c r="Q19" s="155">
        <v>12600</v>
      </c>
      <c r="R19" s="156">
        <f t="shared" si="10"/>
        <v>0</v>
      </c>
      <c r="S19" s="156" t="e">
        <f>+F19+#REF!+I19+K19+M19</f>
        <v>#REF!</v>
      </c>
      <c r="T19" s="155" t="e">
        <f>((F19+#REF!+M19)*14+(I19+K19)*12)</f>
        <v>#REF!</v>
      </c>
      <c r="V19" s="110">
        <v>900</v>
      </c>
      <c r="W19" s="143">
        <f t="shared" si="11"/>
        <v>30</v>
      </c>
      <c r="X19" s="113"/>
      <c r="Y19" s="113"/>
      <c r="Z19" s="115">
        <f t="shared" si="12"/>
        <v>900</v>
      </c>
      <c r="AA19" s="113">
        <f t="shared" si="7"/>
        <v>12600</v>
      </c>
    </row>
    <row r="20" spans="1:27" ht="18" customHeight="1" x14ac:dyDescent="0.2">
      <c r="B20" s="76"/>
      <c r="C20" s="76"/>
      <c r="D20" s="76"/>
      <c r="E20" s="123" t="s">
        <v>28</v>
      </c>
      <c r="F20" s="77"/>
      <c r="G20" s="78"/>
      <c r="H20" s="78"/>
      <c r="I20" s="77"/>
      <c r="J20" s="78"/>
      <c r="K20" s="77"/>
      <c r="L20" s="78"/>
      <c r="M20" s="77"/>
      <c r="N20" s="77"/>
      <c r="O20" s="77"/>
      <c r="P20" s="77"/>
      <c r="V20" s="77"/>
      <c r="W20" s="78"/>
      <c r="X20" s="77"/>
      <c r="Y20" s="77"/>
      <c r="Z20" s="77"/>
      <c r="AA20" s="77"/>
    </row>
    <row r="21" spans="1:27" ht="14.1" customHeight="1" x14ac:dyDescent="0.2">
      <c r="A21" s="184" t="s">
        <v>145</v>
      </c>
      <c r="B21" s="80">
        <v>3</v>
      </c>
      <c r="C21" s="80" t="s">
        <v>72</v>
      </c>
      <c r="D21" s="107">
        <v>2504</v>
      </c>
      <c r="E21" s="97" t="s">
        <v>29</v>
      </c>
      <c r="F21" s="113">
        <v>1341.37</v>
      </c>
      <c r="G21" s="143">
        <f t="shared" ref="G21:G25" si="13">F21/30</f>
        <v>44.712333333333326</v>
      </c>
      <c r="H21" s="143" t="e">
        <f>+#REF!/30</f>
        <v>#REF!</v>
      </c>
      <c r="I21" s="113">
        <v>69.38</v>
      </c>
      <c r="J21" s="145">
        <f t="shared" si="1"/>
        <v>2.3126666666666664</v>
      </c>
      <c r="K21" s="113"/>
      <c r="L21" s="114"/>
      <c r="M21" s="113"/>
      <c r="N21" s="113"/>
      <c r="O21" s="115">
        <f>+M21+K21+I21+F21</f>
        <v>1410.75</v>
      </c>
      <c r="P21" s="113">
        <f>((F21+M21)*14)+((I21+K21)*12)</f>
        <v>19611.740000000002</v>
      </c>
      <c r="Q21" s="155">
        <v>12600</v>
      </c>
      <c r="R21" s="156">
        <f>+P21-Q21</f>
        <v>7011.7400000000016</v>
      </c>
      <c r="S21" s="155"/>
      <c r="T21" s="155"/>
      <c r="V21" s="113">
        <v>1400.84</v>
      </c>
      <c r="W21" s="143">
        <f t="shared" ref="W21:W22" si="14">V21/30</f>
        <v>46.694666666666663</v>
      </c>
      <c r="X21" s="113"/>
      <c r="Y21" s="113"/>
      <c r="Z21" s="115">
        <f>+V21+X21</f>
        <v>1400.84</v>
      </c>
      <c r="AA21" s="113">
        <f t="shared" si="7"/>
        <v>19611.759999999998</v>
      </c>
    </row>
    <row r="22" spans="1:27" ht="14.1" customHeight="1" x14ac:dyDescent="0.2">
      <c r="A22" s="184" t="s">
        <v>145</v>
      </c>
      <c r="B22" s="80">
        <v>5</v>
      </c>
      <c r="C22" s="80" t="s">
        <v>72</v>
      </c>
      <c r="D22" s="107">
        <v>2227</v>
      </c>
      <c r="E22" s="97" t="s">
        <v>30</v>
      </c>
      <c r="F22" s="113">
        <v>995.93</v>
      </c>
      <c r="G22" s="143">
        <f t="shared" si="13"/>
        <v>33.197666666666663</v>
      </c>
      <c r="H22" s="143" t="e">
        <f>+#REF!/30</f>
        <v>#REF!</v>
      </c>
      <c r="I22" s="113">
        <v>69.38</v>
      </c>
      <c r="J22" s="145">
        <f t="shared" si="1"/>
        <v>2.3126666666666664</v>
      </c>
      <c r="K22" s="113"/>
      <c r="L22" s="114"/>
      <c r="M22" s="113"/>
      <c r="N22" s="113"/>
      <c r="O22" s="115">
        <f>+M22+K22+I22+F22</f>
        <v>1065.31</v>
      </c>
      <c r="P22" s="113">
        <f>((F22+M22)*14)+((I22+K22)*12)</f>
        <v>14775.579999999998</v>
      </c>
      <c r="Q22" s="155">
        <v>12600</v>
      </c>
      <c r="R22" s="156">
        <f>+P22-Q22</f>
        <v>2175.5799999999981</v>
      </c>
      <c r="S22" s="155"/>
      <c r="T22" s="155"/>
      <c r="V22" s="113">
        <v>1055.4000000000001</v>
      </c>
      <c r="W22" s="143">
        <f t="shared" si="14"/>
        <v>35.18</v>
      </c>
      <c r="X22" s="113"/>
      <c r="Y22" s="113"/>
      <c r="Z22" s="115">
        <f>+V22+X22</f>
        <v>1055.4000000000001</v>
      </c>
      <c r="AA22" s="113">
        <f t="shared" si="7"/>
        <v>14775.600000000002</v>
      </c>
    </row>
    <row r="23" spans="1:27" ht="18" customHeight="1" x14ac:dyDescent="0.2">
      <c r="B23" s="76"/>
      <c r="C23" s="76"/>
      <c r="D23" s="76"/>
      <c r="E23" s="123" t="s">
        <v>94</v>
      </c>
      <c r="F23" s="77"/>
      <c r="G23" s="78"/>
      <c r="H23" s="78"/>
      <c r="I23" s="77"/>
      <c r="J23" s="78"/>
      <c r="K23" s="77"/>
      <c r="L23" s="78"/>
      <c r="M23" s="77"/>
      <c r="N23" s="77"/>
      <c r="O23" s="77"/>
      <c r="P23" s="77"/>
      <c r="V23" s="77"/>
      <c r="W23" s="78"/>
      <c r="X23" s="77"/>
      <c r="Y23" s="77"/>
      <c r="Z23" s="77"/>
      <c r="AA23" s="77"/>
    </row>
    <row r="24" spans="1:27" ht="14.1" customHeight="1" x14ac:dyDescent="0.2">
      <c r="A24" s="184" t="s">
        <v>145</v>
      </c>
      <c r="B24" s="80">
        <v>3</v>
      </c>
      <c r="C24" s="80" t="s">
        <v>72</v>
      </c>
      <c r="D24" s="107">
        <v>2120</v>
      </c>
      <c r="E24" s="97" t="s">
        <v>48</v>
      </c>
      <c r="F24" s="110">
        <v>1348.36</v>
      </c>
      <c r="G24" s="143">
        <f t="shared" si="13"/>
        <v>44.94533333333333</v>
      </c>
      <c r="H24" s="143" t="e">
        <f>+#REF!/30</f>
        <v>#REF!</v>
      </c>
      <c r="I24" s="110">
        <v>69.38</v>
      </c>
      <c r="J24" s="145">
        <f t="shared" si="1"/>
        <v>2.3126666666666664</v>
      </c>
      <c r="K24" s="113"/>
      <c r="L24" s="114"/>
      <c r="M24" s="113"/>
      <c r="N24" s="113"/>
      <c r="O24" s="115">
        <f>+M24+K24+I24+F24</f>
        <v>1417.7399999999998</v>
      </c>
      <c r="P24" s="113">
        <f>((F24+M24)*14)+((I24+K24)*12)</f>
        <v>19709.599999999999</v>
      </c>
      <c r="Q24" s="155">
        <v>12600</v>
      </c>
      <c r="R24" s="156">
        <f>+P24-Q24</f>
        <v>7109.5999999999985</v>
      </c>
      <c r="S24" s="155"/>
      <c r="T24" s="155"/>
      <c r="V24" s="110">
        <v>1407.83</v>
      </c>
      <c r="W24" s="143">
        <f t="shared" ref="W24:W25" si="15">V24/30</f>
        <v>46.927666666666667</v>
      </c>
      <c r="X24" s="113"/>
      <c r="Y24" s="113"/>
      <c r="Z24" s="115">
        <f>+V24+X24</f>
        <v>1407.83</v>
      </c>
      <c r="AA24" s="113">
        <f t="shared" si="7"/>
        <v>19709.62</v>
      </c>
    </row>
    <row r="25" spans="1:27" ht="14.1" customHeight="1" x14ac:dyDescent="0.2">
      <c r="A25" s="184" t="s">
        <v>145</v>
      </c>
      <c r="B25" s="80">
        <v>5</v>
      </c>
      <c r="C25" s="80" t="s">
        <v>72</v>
      </c>
      <c r="D25" s="107">
        <v>2207</v>
      </c>
      <c r="E25" s="97" t="s">
        <v>49</v>
      </c>
      <c r="F25" s="110">
        <v>1004.23</v>
      </c>
      <c r="G25" s="143">
        <f t="shared" si="13"/>
        <v>33.474333333333334</v>
      </c>
      <c r="H25" s="143" t="e">
        <f>+#REF!/30</f>
        <v>#REF!</v>
      </c>
      <c r="I25" s="110">
        <v>69.38</v>
      </c>
      <c r="J25" s="145">
        <f t="shared" si="1"/>
        <v>2.3126666666666664</v>
      </c>
      <c r="K25" s="113"/>
      <c r="L25" s="114"/>
      <c r="M25" s="113"/>
      <c r="N25" s="113"/>
      <c r="O25" s="115">
        <f>+M25+K25+I25+F25</f>
        <v>1073.6100000000001</v>
      </c>
      <c r="P25" s="113">
        <f>((F25+M25)*14)+((I25+K25)*12)</f>
        <v>14891.78</v>
      </c>
      <c r="Q25" s="155">
        <v>12600</v>
      </c>
      <c r="R25" s="156">
        <f>+P25-Q25</f>
        <v>2291.7800000000007</v>
      </c>
      <c r="S25" s="155"/>
      <c r="T25" s="155"/>
      <c r="V25" s="110">
        <v>1063.7</v>
      </c>
      <c r="W25" s="143">
        <f t="shared" si="15"/>
        <v>35.456666666666671</v>
      </c>
      <c r="X25" s="113"/>
      <c r="Y25" s="113"/>
      <c r="Z25" s="115">
        <f>+V25+X25</f>
        <v>1063.7</v>
      </c>
      <c r="AA25" s="113">
        <f t="shared" si="7"/>
        <v>14891.800000000001</v>
      </c>
    </row>
    <row r="26" spans="1:27" ht="18" customHeight="1" x14ac:dyDescent="0.2">
      <c r="B26" s="76"/>
      <c r="C26" s="76"/>
      <c r="D26" s="76"/>
      <c r="E26" s="123" t="s">
        <v>31</v>
      </c>
      <c r="F26" s="77"/>
      <c r="G26" s="78"/>
      <c r="H26" s="78"/>
      <c r="I26" s="77"/>
      <c r="J26" s="78"/>
      <c r="K26" s="77"/>
      <c r="L26" s="78"/>
      <c r="M26" s="77"/>
      <c r="N26" s="77"/>
      <c r="O26" s="77"/>
      <c r="P26" s="77"/>
      <c r="V26" s="77"/>
      <c r="W26" s="78"/>
      <c r="X26" s="77"/>
      <c r="Y26" s="77"/>
      <c r="Z26" s="77"/>
      <c r="AA26" s="77"/>
    </row>
    <row r="27" spans="1:27" ht="14.1" customHeight="1" x14ac:dyDescent="0.2">
      <c r="A27" s="185" t="s">
        <v>146</v>
      </c>
      <c r="B27" s="82">
        <v>6</v>
      </c>
      <c r="C27" s="82" t="s">
        <v>72</v>
      </c>
      <c r="D27" s="109">
        <v>2048</v>
      </c>
      <c r="E27" s="87" t="s">
        <v>106</v>
      </c>
      <c r="F27" s="110">
        <v>857.14250000000004</v>
      </c>
      <c r="G27" s="143">
        <f t="shared" ref="G27:G37" si="16">F27/30</f>
        <v>28.571416666666668</v>
      </c>
      <c r="H27" s="143" t="e">
        <f>+#REF!/30</f>
        <v>#REF!</v>
      </c>
      <c r="I27" s="110">
        <v>30</v>
      </c>
      <c r="J27" s="145">
        <f t="shared" ref="J27:J37" si="17">I27/30</f>
        <v>1</v>
      </c>
      <c r="K27" s="113">
        <v>20</v>
      </c>
      <c r="L27" s="143">
        <f t="shared" ref="L27:L37" si="18">K27/30</f>
        <v>0.66666666666666663</v>
      </c>
      <c r="M27" s="113"/>
      <c r="N27" s="113"/>
      <c r="O27" s="115">
        <f t="shared" ref="O27:O37" si="19">+M27+K27+I27+F27</f>
        <v>907.14250000000004</v>
      </c>
      <c r="P27" s="113">
        <f t="shared" ref="P27:P37" si="20">((F27+M27)*14)+((I27+K27)*12)</f>
        <v>12599.995000000001</v>
      </c>
      <c r="Q27" s="155">
        <v>12600</v>
      </c>
      <c r="R27" s="156">
        <f t="shared" ref="R27:R37" si="21">+P27-Q27</f>
        <v>-4.9999999991996447E-3</v>
      </c>
      <c r="S27" s="156" t="e">
        <f>+F27+#REF!+I27+K27+M27</f>
        <v>#REF!</v>
      </c>
      <c r="T27" s="155" t="e">
        <f>((F27+#REF!+M27)*14+(I27+K27)*12)</f>
        <v>#REF!</v>
      </c>
      <c r="V27" s="110">
        <v>900</v>
      </c>
      <c r="W27" s="143">
        <f t="shared" ref="W27:W37" si="22">V27/30</f>
        <v>30</v>
      </c>
      <c r="X27" s="113"/>
      <c r="Y27" s="113"/>
      <c r="Z27" s="115">
        <f t="shared" ref="Z27:Z37" si="23">+V27+X27</f>
        <v>900</v>
      </c>
      <c r="AA27" s="113">
        <f t="shared" ref="AA27:AA37" si="24">+Z27*14</f>
        <v>12600</v>
      </c>
    </row>
    <row r="28" spans="1:27" ht="14.1" customHeight="1" x14ac:dyDescent="0.2">
      <c r="A28" s="185" t="s">
        <v>146</v>
      </c>
      <c r="B28" s="82">
        <v>6</v>
      </c>
      <c r="C28" s="82" t="s">
        <v>73</v>
      </c>
      <c r="D28" s="109">
        <v>2047</v>
      </c>
      <c r="E28" s="87" t="s">
        <v>66</v>
      </c>
      <c r="F28" s="110">
        <v>857.14250000000004</v>
      </c>
      <c r="G28" s="143">
        <f t="shared" si="16"/>
        <v>28.571416666666668</v>
      </c>
      <c r="H28" s="143" t="e">
        <f>+#REF!/30</f>
        <v>#REF!</v>
      </c>
      <c r="I28" s="110">
        <v>30</v>
      </c>
      <c r="J28" s="145">
        <f t="shared" si="17"/>
        <v>1</v>
      </c>
      <c r="K28" s="113">
        <v>20</v>
      </c>
      <c r="L28" s="143">
        <f t="shared" si="18"/>
        <v>0.66666666666666663</v>
      </c>
      <c r="M28" s="113"/>
      <c r="N28" s="143"/>
      <c r="O28" s="115">
        <f t="shared" si="19"/>
        <v>907.14250000000004</v>
      </c>
      <c r="P28" s="113">
        <f t="shared" si="20"/>
        <v>12599.995000000001</v>
      </c>
      <c r="Q28" s="155">
        <v>12600</v>
      </c>
      <c r="R28" s="156">
        <f t="shared" si="21"/>
        <v>-4.9999999991996447E-3</v>
      </c>
      <c r="S28" s="156" t="e">
        <f>+F28+#REF!+I28+K28+M28</f>
        <v>#REF!</v>
      </c>
      <c r="T28" s="155" t="e">
        <f>((F28+#REF!+M28)*14+(I28+K28)*12)</f>
        <v>#REF!</v>
      </c>
      <c r="V28" s="110">
        <v>900</v>
      </c>
      <c r="W28" s="143">
        <f t="shared" si="22"/>
        <v>30</v>
      </c>
      <c r="X28" s="113"/>
      <c r="Y28" s="143"/>
      <c r="Z28" s="115">
        <f t="shared" si="23"/>
        <v>900</v>
      </c>
      <c r="AA28" s="113">
        <f t="shared" si="24"/>
        <v>12600</v>
      </c>
    </row>
    <row r="29" spans="1:27" ht="14.1" customHeight="1" x14ac:dyDescent="0.2">
      <c r="A29" s="185" t="s">
        <v>146</v>
      </c>
      <c r="B29" s="82">
        <v>6</v>
      </c>
      <c r="C29" s="82" t="s">
        <v>72</v>
      </c>
      <c r="D29" s="109">
        <v>2042</v>
      </c>
      <c r="E29" s="87" t="s">
        <v>65</v>
      </c>
      <c r="F29" s="110">
        <v>857.14250000000004</v>
      </c>
      <c r="G29" s="143">
        <f t="shared" si="16"/>
        <v>28.571416666666668</v>
      </c>
      <c r="H29" s="143" t="e">
        <f>+#REF!/30</f>
        <v>#REF!</v>
      </c>
      <c r="I29" s="110">
        <v>30</v>
      </c>
      <c r="J29" s="145">
        <f t="shared" si="17"/>
        <v>1</v>
      </c>
      <c r="K29" s="113">
        <v>20</v>
      </c>
      <c r="L29" s="143">
        <f t="shared" si="18"/>
        <v>0.66666666666666663</v>
      </c>
      <c r="M29" s="113"/>
      <c r="N29" s="143"/>
      <c r="O29" s="115">
        <f t="shared" si="19"/>
        <v>907.14250000000004</v>
      </c>
      <c r="P29" s="113">
        <f t="shared" si="20"/>
        <v>12599.995000000001</v>
      </c>
      <c r="Q29" s="155">
        <v>12600</v>
      </c>
      <c r="R29" s="156">
        <f t="shared" si="21"/>
        <v>-4.9999999991996447E-3</v>
      </c>
      <c r="S29" s="156" t="e">
        <f>+F29+#REF!+I29+K29+M29</f>
        <v>#REF!</v>
      </c>
      <c r="T29" s="155" t="e">
        <f>((F29+#REF!+M29)*14+(I29+K29)*12)</f>
        <v>#REF!</v>
      </c>
      <c r="V29" s="110">
        <v>900</v>
      </c>
      <c r="W29" s="143">
        <f t="shared" si="22"/>
        <v>30</v>
      </c>
      <c r="X29" s="113"/>
      <c r="Y29" s="143"/>
      <c r="Z29" s="115">
        <f t="shared" si="23"/>
        <v>900</v>
      </c>
      <c r="AA29" s="113">
        <f t="shared" si="24"/>
        <v>12600</v>
      </c>
    </row>
    <row r="30" spans="1:27" ht="14.1" customHeight="1" x14ac:dyDescent="0.2">
      <c r="A30" s="185" t="s">
        <v>146</v>
      </c>
      <c r="B30" s="82">
        <v>6</v>
      </c>
      <c r="C30" s="82" t="s">
        <v>72</v>
      </c>
      <c r="D30" s="109">
        <v>2205</v>
      </c>
      <c r="E30" s="87" t="s">
        <v>33</v>
      </c>
      <c r="F30" s="110">
        <v>857.14250000000004</v>
      </c>
      <c r="G30" s="143">
        <f t="shared" si="16"/>
        <v>28.571416666666668</v>
      </c>
      <c r="H30" s="143" t="e">
        <f>+#REF!/30</f>
        <v>#REF!</v>
      </c>
      <c r="I30" s="110">
        <v>30</v>
      </c>
      <c r="J30" s="145">
        <f t="shared" si="17"/>
        <v>1</v>
      </c>
      <c r="K30" s="113">
        <v>20</v>
      </c>
      <c r="L30" s="143">
        <f t="shared" si="18"/>
        <v>0.66666666666666663</v>
      </c>
      <c r="M30" s="113"/>
      <c r="N30" s="143"/>
      <c r="O30" s="115">
        <f t="shared" si="19"/>
        <v>907.14250000000004</v>
      </c>
      <c r="P30" s="113">
        <f t="shared" si="20"/>
        <v>12599.995000000001</v>
      </c>
      <c r="Q30" s="155">
        <v>12600</v>
      </c>
      <c r="R30" s="156">
        <f t="shared" si="21"/>
        <v>-4.9999999991996447E-3</v>
      </c>
      <c r="S30" s="156" t="e">
        <f>+F30+#REF!+I30+K30+M30</f>
        <v>#REF!</v>
      </c>
      <c r="T30" s="155" t="e">
        <f>((F30+#REF!+M30)*14+(I30+K30)*12)</f>
        <v>#REF!</v>
      </c>
      <c r="V30" s="110">
        <v>900</v>
      </c>
      <c r="W30" s="143">
        <f t="shared" si="22"/>
        <v>30</v>
      </c>
      <c r="X30" s="113"/>
      <c r="Y30" s="143"/>
      <c r="Z30" s="115">
        <f t="shared" si="23"/>
        <v>900</v>
      </c>
      <c r="AA30" s="113">
        <f t="shared" si="24"/>
        <v>12600</v>
      </c>
    </row>
    <row r="31" spans="1:27" ht="14.1" customHeight="1" x14ac:dyDescent="0.2">
      <c r="A31" s="185" t="s">
        <v>146</v>
      </c>
      <c r="B31" s="82">
        <v>6</v>
      </c>
      <c r="C31" s="82" t="s">
        <v>73</v>
      </c>
      <c r="D31" s="109">
        <v>2046</v>
      </c>
      <c r="E31" s="87" t="s">
        <v>37</v>
      </c>
      <c r="F31" s="110">
        <v>857.14250000000004</v>
      </c>
      <c r="G31" s="143">
        <f t="shared" si="16"/>
        <v>28.571416666666668</v>
      </c>
      <c r="H31" s="143" t="e">
        <f>+#REF!/30</f>
        <v>#REF!</v>
      </c>
      <c r="I31" s="110">
        <v>40</v>
      </c>
      <c r="J31" s="145">
        <f t="shared" si="17"/>
        <v>1.3333333333333333</v>
      </c>
      <c r="K31" s="113">
        <v>20</v>
      </c>
      <c r="L31" s="143">
        <f t="shared" si="18"/>
        <v>0.66666666666666663</v>
      </c>
      <c r="M31" s="113">
        <v>92.08</v>
      </c>
      <c r="N31" s="143">
        <f>M31/30</f>
        <v>3.0693333333333332</v>
      </c>
      <c r="O31" s="115">
        <f t="shared" si="19"/>
        <v>1009.2225000000001</v>
      </c>
      <c r="P31" s="113">
        <f t="shared" si="20"/>
        <v>14009.115000000002</v>
      </c>
      <c r="Q31" s="155">
        <v>12600</v>
      </c>
      <c r="R31" s="156">
        <f t="shared" si="21"/>
        <v>1409.1150000000016</v>
      </c>
      <c r="S31" s="156" t="e">
        <f>+F31+#REF!+I31+K31+M31</f>
        <v>#REF!</v>
      </c>
      <c r="T31" s="155" t="e">
        <f>((F31+#REF!+M31)*14+(I31+K31)*12)</f>
        <v>#REF!</v>
      </c>
      <c r="V31" s="110">
        <v>908.57</v>
      </c>
      <c r="W31" s="143">
        <f t="shared" si="22"/>
        <v>30.285666666666668</v>
      </c>
      <c r="X31" s="113">
        <v>92.08</v>
      </c>
      <c r="Y31" s="143">
        <f>X31/30</f>
        <v>3.0693333333333332</v>
      </c>
      <c r="Z31" s="115">
        <f t="shared" si="23"/>
        <v>1000.6500000000001</v>
      </c>
      <c r="AA31" s="113">
        <f t="shared" si="24"/>
        <v>14009.100000000002</v>
      </c>
    </row>
    <row r="32" spans="1:27" s="138" customFormat="1" ht="14.1" customHeight="1" x14ac:dyDescent="0.2">
      <c r="A32" s="185" t="s">
        <v>146</v>
      </c>
      <c r="B32" s="82">
        <v>6</v>
      </c>
      <c r="C32" s="82" t="s">
        <v>72</v>
      </c>
      <c r="D32" s="109">
        <v>2044</v>
      </c>
      <c r="E32" s="87" t="s">
        <v>76</v>
      </c>
      <c r="F32" s="110">
        <v>857.14250000000004</v>
      </c>
      <c r="G32" s="143">
        <f t="shared" si="16"/>
        <v>28.571416666666668</v>
      </c>
      <c r="H32" s="143" t="e">
        <f>+#REF!/30</f>
        <v>#REF!</v>
      </c>
      <c r="I32" s="110">
        <v>30</v>
      </c>
      <c r="J32" s="145">
        <f t="shared" si="17"/>
        <v>1</v>
      </c>
      <c r="K32" s="113">
        <v>20</v>
      </c>
      <c r="L32" s="143">
        <f t="shared" si="18"/>
        <v>0.66666666666666663</v>
      </c>
      <c r="M32" s="113"/>
      <c r="N32" s="113"/>
      <c r="O32" s="115">
        <f t="shared" si="19"/>
        <v>907.14250000000004</v>
      </c>
      <c r="P32" s="113">
        <f t="shared" si="20"/>
        <v>12599.995000000001</v>
      </c>
      <c r="Q32" s="155">
        <v>12600</v>
      </c>
      <c r="R32" s="156">
        <f t="shared" si="21"/>
        <v>-4.9999999991996447E-3</v>
      </c>
      <c r="S32" s="156" t="e">
        <f>+F32+#REF!+I32+K32+M32</f>
        <v>#REF!</v>
      </c>
      <c r="T32" s="155" t="e">
        <f>((F32+#REF!+M32)*14+(I32+K32)*12)</f>
        <v>#REF!</v>
      </c>
      <c r="V32" s="110">
        <v>900</v>
      </c>
      <c r="W32" s="143">
        <f t="shared" si="22"/>
        <v>30</v>
      </c>
      <c r="X32" s="113"/>
      <c r="Y32" s="113"/>
      <c r="Z32" s="115">
        <f t="shared" si="23"/>
        <v>900</v>
      </c>
      <c r="AA32" s="113">
        <f t="shared" si="24"/>
        <v>12600</v>
      </c>
    </row>
    <row r="33" spans="1:27" ht="14.1" customHeight="1" x14ac:dyDescent="0.2">
      <c r="A33" s="185" t="s">
        <v>146</v>
      </c>
      <c r="B33" s="82">
        <v>6</v>
      </c>
      <c r="C33" s="82" t="s">
        <v>72</v>
      </c>
      <c r="D33" s="109">
        <v>2500</v>
      </c>
      <c r="E33" s="87" t="s">
        <v>77</v>
      </c>
      <c r="F33" s="110">
        <v>857.14250000000004</v>
      </c>
      <c r="G33" s="143">
        <f t="shared" si="16"/>
        <v>28.571416666666668</v>
      </c>
      <c r="H33" s="143" t="e">
        <f>+#REF!/30</f>
        <v>#REF!</v>
      </c>
      <c r="I33" s="110">
        <v>30</v>
      </c>
      <c r="J33" s="145">
        <f t="shared" si="17"/>
        <v>1</v>
      </c>
      <c r="K33" s="113">
        <v>20</v>
      </c>
      <c r="L33" s="143">
        <f t="shared" si="18"/>
        <v>0.66666666666666663</v>
      </c>
      <c r="M33" s="110"/>
      <c r="N33" s="110"/>
      <c r="O33" s="115">
        <f t="shared" si="19"/>
        <v>907.14250000000004</v>
      </c>
      <c r="P33" s="113">
        <f t="shared" si="20"/>
        <v>12599.995000000001</v>
      </c>
      <c r="Q33" s="155">
        <v>12600</v>
      </c>
      <c r="R33" s="156">
        <f t="shared" si="21"/>
        <v>-4.9999999991996447E-3</v>
      </c>
      <c r="S33" s="156" t="e">
        <f>+F33+#REF!+I33+K33+M33</f>
        <v>#REF!</v>
      </c>
      <c r="T33" s="155" t="e">
        <f>((F33+#REF!+M33)*14+(I33+K33)*12)</f>
        <v>#REF!</v>
      </c>
      <c r="V33" s="110">
        <v>900</v>
      </c>
      <c r="W33" s="143">
        <f t="shared" si="22"/>
        <v>30</v>
      </c>
      <c r="X33" s="110"/>
      <c r="Y33" s="110"/>
      <c r="Z33" s="115">
        <f t="shared" si="23"/>
        <v>900</v>
      </c>
      <c r="AA33" s="113">
        <f t="shared" si="24"/>
        <v>12600</v>
      </c>
    </row>
    <row r="34" spans="1:27" s="138" customFormat="1" ht="14.1" customHeight="1" x14ac:dyDescent="0.2">
      <c r="A34" s="185" t="s">
        <v>146</v>
      </c>
      <c r="B34" s="82">
        <v>6</v>
      </c>
      <c r="C34" s="82" t="s">
        <v>72</v>
      </c>
      <c r="D34" s="109">
        <v>2053</v>
      </c>
      <c r="E34" s="87" t="s">
        <v>88</v>
      </c>
      <c r="F34" s="110">
        <v>883.79</v>
      </c>
      <c r="G34" s="143">
        <f t="shared" si="16"/>
        <v>29.459666666666667</v>
      </c>
      <c r="H34" s="143" t="e">
        <f>+#REF!/30</f>
        <v>#REF!</v>
      </c>
      <c r="I34" s="110">
        <v>79.3</v>
      </c>
      <c r="J34" s="143">
        <f t="shared" si="17"/>
        <v>2.6433333333333331</v>
      </c>
      <c r="K34" s="110">
        <v>57.18</v>
      </c>
      <c r="L34" s="143">
        <f t="shared" si="18"/>
        <v>1.9059999999999999</v>
      </c>
      <c r="M34" s="110"/>
      <c r="N34" s="110"/>
      <c r="O34" s="115">
        <f t="shared" si="19"/>
        <v>1020.27</v>
      </c>
      <c r="P34" s="113">
        <f t="shared" si="20"/>
        <v>14010.82</v>
      </c>
      <c r="Q34" s="155">
        <v>12600</v>
      </c>
      <c r="R34" s="156">
        <f t="shared" si="21"/>
        <v>1410.8199999999997</v>
      </c>
      <c r="S34" s="157"/>
      <c r="T34" s="157"/>
      <c r="V34" s="110">
        <v>1000.77</v>
      </c>
      <c r="W34" s="143">
        <f t="shared" si="22"/>
        <v>33.359000000000002</v>
      </c>
      <c r="X34" s="110"/>
      <c r="Y34" s="110"/>
      <c r="Z34" s="115">
        <f t="shared" si="23"/>
        <v>1000.77</v>
      </c>
      <c r="AA34" s="113">
        <f t="shared" si="24"/>
        <v>14010.779999999999</v>
      </c>
    </row>
    <row r="35" spans="1:27" s="138" customFormat="1" ht="14.1" customHeight="1" x14ac:dyDescent="0.2">
      <c r="A35" s="185" t="s">
        <v>146</v>
      </c>
      <c r="B35" s="82">
        <v>10</v>
      </c>
      <c r="C35" s="82" t="s">
        <v>72</v>
      </c>
      <c r="D35" s="109">
        <v>2051</v>
      </c>
      <c r="E35" s="87" t="s">
        <v>108</v>
      </c>
      <c r="F35" s="110">
        <v>857.14250000000004</v>
      </c>
      <c r="G35" s="143">
        <f t="shared" si="16"/>
        <v>28.571416666666668</v>
      </c>
      <c r="H35" s="143" t="e">
        <f>+#REF!/30</f>
        <v>#REF!</v>
      </c>
      <c r="I35" s="110">
        <v>37</v>
      </c>
      <c r="J35" s="145">
        <f t="shared" si="17"/>
        <v>1.2333333333333334</v>
      </c>
      <c r="K35" s="113">
        <v>13</v>
      </c>
      <c r="L35" s="143">
        <f t="shared" si="18"/>
        <v>0.43333333333333335</v>
      </c>
      <c r="M35" s="113"/>
      <c r="N35" s="113"/>
      <c r="O35" s="115">
        <f t="shared" si="19"/>
        <v>907.14250000000004</v>
      </c>
      <c r="P35" s="113">
        <f t="shared" si="20"/>
        <v>12599.995000000001</v>
      </c>
      <c r="Q35" s="155">
        <v>12600</v>
      </c>
      <c r="R35" s="156">
        <f t="shared" si="21"/>
        <v>-4.9999999991996447E-3</v>
      </c>
      <c r="S35" s="157" t="e">
        <f>+F35+#REF!+I35+K35+M35</f>
        <v>#REF!</v>
      </c>
      <c r="T35" s="157" t="e">
        <f>((F35+#REF!+M35)*14+(I35+K35)*12)</f>
        <v>#REF!</v>
      </c>
      <c r="V35" s="110">
        <v>900</v>
      </c>
      <c r="W35" s="143">
        <f t="shared" si="22"/>
        <v>30</v>
      </c>
      <c r="X35" s="113"/>
      <c r="Y35" s="113"/>
      <c r="Z35" s="115">
        <f t="shared" si="23"/>
        <v>900</v>
      </c>
      <c r="AA35" s="113">
        <f t="shared" si="24"/>
        <v>12600</v>
      </c>
    </row>
    <row r="36" spans="1:27" s="138" customFormat="1" ht="14.1" customHeight="1" x14ac:dyDescent="0.2">
      <c r="A36" s="185" t="s">
        <v>146</v>
      </c>
      <c r="B36" s="82">
        <v>6</v>
      </c>
      <c r="C36" s="82" t="s">
        <v>72</v>
      </c>
      <c r="D36" s="109">
        <v>2043</v>
      </c>
      <c r="E36" s="87" t="s">
        <v>36</v>
      </c>
      <c r="F36" s="110">
        <v>857.14250000000004</v>
      </c>
      <c r="G36" s="143">
        <f t="shared" si="16"/>
        <v>28.571416666666668</v>
      </c>
      <c r="H36" s="143" t="e">
        <f>+#REF!/30</f>
        <v>#REF!</v>
      </c>
      <c r="I36" s="110">
        <v>30</v>
      </c>
      <c r="J36" s="145">
        <f t="shared" si="17"/>
        <v>1</v>
      </c>
      <c r="K36" s="113">
        <v>20</v>
      </c>
      <c r="L36" s="143">
        <f t="shared" si="18"/>
        <v>0.66666666666666663</v>
      </c>
      <c r="M36" s="113"/>
      <c r="N36" s="113"/>
      <c r="O36" s="115">
        <f t="shared" si="19"/>
        <v>907.14250000000004</v>
      </c>
      <c r="P36" s="113">
        <f t="shared" si="20"/>
        <v>12599.995000000001</v>
      </c>
      <c r="Q36" s="155">
        <v>12600</v>
      </c>
      <c r="R36" s="156">
        <f t="shared" si="21"/>
        <v>-4.9999999991996447E-3</v>
      </c>
      <c r="S36" s="157" t="e">
        <f>+F36+#REF!+I36+K36+M36</f>
        <v>#REF!</v>
      </c>
      <c r="T36" s="157" t="e">
        <f>((F36+#REF!+M36)*14+(I36+K36)*12)</f>
        <v>#REF!</v>
      </c>
      <c r="V36" s="110">
        <v>900</v>
      </c>
      <c r="W36" s="143">
        <f t="shared" si="22"/>
        <v>30</v>
      </c>
      <c r="X36" s="113"/>
      <c r="Y36" s="113"/>
      <c r="Z36" s="115">
        <f t="shared" si="23"/>
        <v>900</v>
      </c>
      <c r="AA36" s="113">
        <f t="shared" si="24"/>
        <v>12600</v>
      </c>
    </row>
    <row r="37" spans="1:27" s="138" customFormat="1" ht="14.1" customHeight="1" x14ac:dyDescent="0.2">
      <c r="A37" s="185" t="s">
        <v>146</v>
      </c>
      <c r="B37" s="82">
        <v>7</v>
      </c>
      <c r="C37" s="82" t="s">
        <v>72</v>
      </c>
      <c r="D37" s="109">
        <v>2209</v>
      </c>
      <c r="E37" s="87" t="s">
        <v>107</v>
      </c>
      <c r="F37" s="110">
        <v>857.14250000000004</v>
      </c>
      <c r="G37" s="143">
        <f t="shared" si="16"/>
        <v>28.571416666666668</v>
      </c>
      <c r="H37" s="143" t="e">
        <f>+#REF!/30</f>
        <v>#REF!</v>
      </c>
      <c r="I37" s="110">
        <v>30</v>
      </c>
      <c r="J37" s="145">
        <f t="shared" si="17"/>
        <v>1</v>
      </c>
      <c r="K37" s="113">
        <v>20</v>
      </c>
      <c r="L37" s="143">
        <f t="shared" si="18"/>
        <v>0.66666666666666663</v>
      </c>
      <c r="M37" s="113"/>
      <c r="N37" s="113"/>
      <c r="O37" s="115">
        <f t="shared" si="19"/>
        <v>907.14250000000004</v>
      </c>
      <c r="P37" s="113">
        <f t="shared" si="20"/>
        <v>12599.995000000001</v>
      </c>
      <c r="Q37" s="155">
        <v>12600</v>
      </c>
      <c r="R37" s="156">
        <f t="shared" si="21"/>
        <v>-4.9999999991996447E-3</v>
      </c>
      <c r="S37" s="157" t="e">
        <f>+F37+#REF!+I37+K37+M37</f>
        <v>#REF!</v>
      </c>
      <c r="T37" s="157" t="e">
        <f>((F37+#REF!+M37)*14+(I37+K37)*12)</f>
        <v>#REF!</v>
      </c>
      <c r="V37" s="110">
        <v>900</v>
      </c>
      <c r="W37" s="143">
        <f t="shared" si="22"/>
        <v>30</v>
      </c>
      <c r="X37" s="113"/>
      <c r="Y37" s="113"/>
      <c r="Z37" s="115">
        <f t="shared" si="23"/>
        <v>900</v>
      </c>
      <c r="AA37" s="113">
        <f t="shared" si="24"/>
        <v>12600</v>
      </c>
    </row>
    <row r="38" spans="1:27" ht="14.1" customHeight="1" x14ac:dyDescent="0.2">
      <c r="A38" s="185" t="s">
        <v>146</v>
      </c>
      <c r="B38" s="82">
        <v>6</v>
      </c>
      <c r="C38" s="82" t="s">
        <v>73</v>
      </c>
      <c r="D38" s="109">
        <v>2057</v>
      </c>
      <c r="E38" s="87" t="s">
        <v>91</v>
      </c>
      <c r="F38" s="110">
        <v>793.65</v>
      </c>
      <c r="G38" s="143">
        <f t="shared" ref="G38" si="25">F38/30</f>
        <v>26.454999999999998</v>
      </c>
      <c r="H38" s="143"/>
      <c r="I38" s="110">
        <v>89.76</v>
      </c>
      <c r="J38" s="145">
        <f t="shared" ref="J38" si="26">I38/30</f>
        <v>2.992</v>
      </c>
      <c r="K38" s="113">
        <v>34.32</v>
      </c>
      <c r="L38" s="143">
        <f t="shared" ref="L38" si="27">K38/30</f>
        <v>1.1439999999999999</v>
      </c>
      <c r="M38" s="113"/>
      <c r="N38" s="143"/>
      <c r="O38" s="115">
        <f t="shared" ref="O38" si="28">+M38+K38+I38+F38</f>
        <v>917.73</v>
      </c>
      <c r="P38" s="113">
        <f t="shared" ref="P38" si="29">((F38+M38)*14)+((I38+K38)*12)</f>
        <v>12600.060000000001</v>
      </c>
      <c r="Q38" s="155">
        <v>12600</v>
      </c>
      <c r="R38" s="156"/>
      <c r="S38" s="156"/>
      <c r="T38" s="155"/>
      <c r="V38" s="195" t="s">
        <v>142</v>
      </c>
      <c r="W38" s="196"/>
      <c r="X38" s="196"/>
      <c r="Y38" s="196"/>
      <c r="Z38" s="196"/>
      <c r="AA38" s="197"/>
    </row>
    <row r="39" spans="1:27" ht="14.1" customHeight="1" x14ac:dyDescent="0.2">
      <c r="A39" s="185" t="s">
        <v>146</v>
      </c>
      <c r="B39" s="82">
        <v>3</v>
      </c>
      <c r="C39" s="82" t="s">
        <v>72</v>
      </c>
      <c r="D39" s="109">
        <v>2510</v>
      </c>
      <c r="E39" s="87" t="s">
        <v>93</v>
      </c>
      <c r="F39" s="110">
        <v>1139.33</v>
      </c>
      <c r="G39" s="143">
        <f t="shared" ref="G39" si="30">F39/30</f>
        <v>37.977666666666664</v>
      </c>
      <c r="H39" s="143" t="e">
        <f>+#REF!/30</f>
        <v>#REF!</v>
      </c>
      <c r="I39" s="110">
        <v>0</v>
      </c>
      <c r="J39" s="145">
        <f t="shared" ref="J39" si="31">I39/30</f>
        <v>0</v>
      </c>
      <c r="K39" s="113">
        <v>0</v>
      </c>
      <c r="L39" s="143">
        <f t="shared" ref="L39" si="32">K39/30</f>
        <v>0</v>
      </c>
      <c r="M39" s="110"/>
      <c r="N39" s="110"/>
      <c r="O39" s="115">
        <f t="shared" ref="O39:O42" si="33">+M39+K39+I39+F39</f>
        <v>1139.33</v>
      </c>
      <c r="P39" s="113">
        <f t="shared" ref="P39:P40" si="34">((F39+M39)*14)+((I39+K39)*12)</f>
        <v>15950.619999999999</v>
      </c>
      <c r="Q39" s="155">
        <v>12600</v>
      </c>
      <c r="R39" s="156">
        <f t="shared" ref="R39:R42" si="35">+P39-Q39</f>
        <v>3350.619999999999</v>
      </c>
      <c r="S39" s="156" t="e">
        <f>+F39+#REF!+I39+K39+M39</f>
        <v>#REF!</v>
      </c>
      <c r="T39" s="155" t="e">
        <f>((F39+#REF!+M39)*14+(I39+K39)*12)</f>
        <v>#REF!</v>
      </c>
      <c r="V39" s="195" t="s">
        <v>142</v>
      </c>
      <c r="W39" s="196"/>
      <c r="X39" s="196"/>
      <c r="Y39" s="196"/>
      <c r="Z39" s="196"/>
      <c r="AA39" s="197"/>
    </row>
    <row r="40" spans="1:27" s="138" customFormat="1" ht="14.1" customHeight="1" x14ac:dyDescent="0.2">
      <c r="A40" s="185" t="s">
        <v>146</v>
      </c>
      <c r="B40" s="82">
        <v>7</v>
      </c>
      <c r="C40" s="82" t="s">
        <v>72</v>
      </c>
      <c r="D40" s="109">
        <v>2214</v>
      </c>
      <c r="E40" s="87" t="s">
        <v>92</v>
      </c>
      <c r="F40" s="110">
        <v>1099.46</v>
      </c>
      <c r="G40" s="120"/>
      <c r="H40" s="120" t="e">
        <f>+#REF!/30</f>
        <v>#REF!</v>
      </c>
      <c r="I40" s="110">
        <v>0</v>
      </c>
      <c r="J40" s="144"/>
      <c r="K40" s="110">
        <v>0</v>
      </c>
      <c r="L40" s="144"/>
      <c r="M40" s="110"/>
      <c r="N40" s="110"/>
      <c r="O40" s="115">
        <f t="shared" si="33"/>
        <v>1099.46</v>
      </c>
      <c r="P40" s="113">
        <f t="shared" si="34"/>
        <v>15392.44</v>
      </c>
      <c r="Q40" s="155">
        <v>12600</v>
      </c>
      <c r="R40" s="156">
        <f t="shared" si="35"/>
        <v>2792.4400000000005</v>
      </c>
      <c r="S40" s="157"/>
      <c r="T40" s="157"/>
      <c r="V40" s="195" t="s">
        <v>142</v>
      </c>
      <c r="W40" s="196"/>
      <c r="X40" s="196"/>
      <c r="Y40" s="196"/>
      <c r="Z40" s="196"/>
      <c r="AA40" s="197"/>
    </row>
    <row r="41" spans="1:27" ht="14.1" customHeight="1" x14ac:dyDescent="0.2">
      <c r="A41" s="185" t="s">
        <v>146</v>
      </c>
      <c r="B41" s="82">
        <v>7</v>
      </c>
      <c r="C41" s="82" t="s">
        <v>72</v>
      </c>
      <c r="D41" s="109">
        <v>2215</v>
      </c>
      <c r="E41" s="87" t="s">
        <v>95</v>
      </c>
      <c r="F41" s="110">
        <v>1039.6400000000001</v>
      </c>
      <c r="G41" s="120"/>
      <c r="H41" s="120"/>
      <c r="I41" s="110">
        <v>0</v>
      </c>
      <c r="J41" s="120"/>
      <c r="K41" s="110">
        <v>0</v>
      </c>
      <c r="L41" s="120">
        <f t="shared" ref="L41" si="36">K41/30</f>
        <v>0</v>
      </c>
      <c r="M41" s="110"/>
      <c r="N41" s="110"/>
      <c r="O41" s="121">
        <f t="shared" ref="O41" si="37">+M41+K41+I41+F41</f>
        <v>1039.6400000000001</v>
      </c>
      <c r="P41" s="110">
        <f t="shared" ref="P41" si="38">((F41+M41)*14)+((I41+K41)*12)</f>
        <v>14554.960000000001</v>
      </c>
      <c r="V41" s="195" t="s">
        <v>142</v>
      </c>
      <c r="W41" s="196"/>
      <c r="X41" s="196"/>
      <c r="Y41" s="196"/>
      <c r="Z41" s="196"/>
      <c r="AA41" s="197"/>
    </row>
    <row r="42" spans="1:27" s="138" customFormat="1" ht="14.1" customHeight="1" x14ac:dyDescent="0.2">
      <c r="A42" s="185" t="s">
        <v>146</v>
      </c>
      <c r="B42" s="82">
        <v>10</v>
      </c>
      <c r="C42" s="82" t="s">
        <v>90</v>
      </c>
      <c r="D42" s="109">
        <v>19906</v>
      </c>
      <c r="E42" s="87" t="s">
        <v>89</v>
      </c>
      <c r="F42" s="110">
        <v>792.68</v>
      </c>
      <c r="G42" s="120"/>
      <c r="H42" s="120" t="e">
        <f>+#REF!/30</f>
        <v>#REF!</v>
      </c>
      <c r="I42" s="110">
        <v>57.81</v>
      </c>
      <c r="J42" s="144"/>
      <c r="K42" s="110">
        <v>15.92</v>
      </c>
      <c r="L42" s="144"/>
      <c r="M42" s="110">
        <v>279.87</v>
      </c>
      <c r="N42" s="110"/>
      <c r="O42" s="115">
        <f t="shared" si="33"/>
        <v>1146.28</v>
      </c>
      <c r="P42" s="113">
        <f>+O42*12</f>
        <v>13755.36</v>
      </c>
      <c r="Q42" s="155">
        <v>12600</v>
      </c>
      <c r="R42" s="156">
        <f t="shared" si="35"/>
        <v>1155.3600000000006</v>
      </c>
      <c r="S42" s="157"/>
      <c r="T42" s="157"/>
      <c r="V42" s="195" t="s">
        <v>142</v>
      </c>
      <c r="W42" s="196"/>
      <c r="X42" s="196"/>
      <c r="Y42" s="196"/>
      <c r="Z42" s="196"/>
      <c r="AA42" s="197"/>
    </row>
    <row r="43" spans="1:27" x14ac:dyDescent="0.2">
      <c r="B43" s="139"/>
      <c r="C43" s="139"/>
      <c r="E43" s="181" t="s">
        <v>143</v>
      </c>
    </row>
    <row r="44" spans="1:27" ht="18" customHeight="1" x14ac:dyDescent="0.2">
      <c r="B44" s="129" t="s">
        <v>78</v>
      </c>
      <c r="C44" s="89"/>
      <c r="D44" s="125"/>
      <c r="E44" s="126"/>
      <c r="F44" s="128"/>
      <c r="G44" s="128"/>
      <c r="H44" s="128"/>
      <c r="I44" s="186" t="s">
        <v>103</v>
      </c>
      <c r="J44" s="186"/>
      <c r="K44" s="186"/>
      <c r="L44" s="186"/>
      <c r="M44" s="186"/>
      <c r="N44" s="186"/>
      <c r="O44" s="186"/>
    </row>
    <row r="45" spans="1:27" ht="12.95" customHeight="1" x14ac:dyDescent="0.2">
      <c r="B45" s="98" t="s">
        <v>79</v>
      </c>
      <c r="C45" s="99"/>
      <c r="D45" s="99"/>
      <c r="E45" s="99"/>
      <c r="F45" s="104" t="s">
        <v>80</v>
      </c>
      <c r="G45" s="88"/>
      <c r="H45" s="147"/>
      <c r="I45" s="189" t="s">
        <v>97</v>
      </c>
      <c r="J45" s="190"/>
      <c r="K45" s="190"/>
      <c r="L45" s="190"/>
      <c r="M45" s="190"/>
      <c r="N45" s="190"/>
      <c r="O45" s="190"/>
      <c r="P45" s="95">
        <v>0.7</v>
      </c>
    </row>
    <row r="46" spans="1:27" ht="12.95" customHeight="1" x14ac:dyDescent="0.2">
      <c r="B46" s="100" t="s">
        <v>81</v>
      </c>
      <c r="C46" s="101"/>
      <c r="D46" s="101"/>
      <c r="E46" s="101"/>
      <c r="F46" s="105" t="s">
        <v>82</v>
      </c>
      <c r="G46" s="88"/>
      <c r="H46" s="90"/>
      <c r="I46" s="187" t="s">
        <v>98</v>
      </c>
      <c r="J46" s="188"/>
      <c r="K46" s="188"/>
      <c r="L46" s="188"/>
      <c r="M46" s="188"/>
      <c r="N46" s="188"/>
      <c r="O46" s="188"/>
      <c r="P46" s="96">
        <v>0.2</v>
      </c>
    </row>
    <row r="47" spans="1:27" ht="12.95" customHeight="1" x14ac:dyDescent="0.2">
      <c r="B47" s="100" t="s">
        <v>83</v>
      </c>
      <c r="C47" s="101"/>
      <c r="D47" s="101"/>
      <c r="E47" s="101"/>
      <c r="F47" s="105" t="s">
        <v>84</v>
      </c>
      <c r="G47" s="88"/>
      <c r="H47" s="90"/>
      <c r="I47" s="187" t="s">
        <v>99</v>
      </c>
      <c r="J47" s="188"/>
      <c r="K47" s="188"/>
      <c r="L47" s="188"/>
      <c r="M47" s="188"/>
      <c r="N47" s="188"/>
      <c r="O47" s="188"/>
      <c r="P47" s="96">
        <v>0.23</v>
      </c>
    </row>
    <row r="48" spans="1:27" ht="12.95" customHeight="1" x14ac:dyDescent="0.2">
      <c r="B48" s="100" t="s">
        <v>85</v>
      </c>
      <c r="C48" s="101"/>
      <c r="D48" s="101"/>
      <c r="E48" s="101"/>
      <c r="F48" s="105" t="s">
        <v>86</v>
      </c>
      <c r="G48" s="88"/>
      <c r="H48" s="90"/>
      <c r="I48" s="187" t="s">
        <v>100</v>
      </c>
      <c r="J48" s="188"/>
      <c r="K48" s="188"/>
      <c r="L48" s="188"/>
      <c r="M48" s="188"/>
      <c r="N48" s="188"/>
      <c r="O48" s="188"/>
      <c r="P48" s="96">
        <v>118.96</v>
      </c>
    </row>
    <row r="49" spans="2:16" ht="12.95" customHeight="1" x14ac:dyDescent="0.2">
      <c r="B49" s="102" t="s">
        <v>104</v>
      </c>
      <c r="C49" s="103"/>
      <c r="D49" s="103"/>
      <c r="E49" s="103"/>
      <c r="F49" s="106" t="s">
        <v>87</v>
      </c>
      <c r="G49" s="88"/>
      <c r="H49" s="90"/>
      <c r="I49" s="187" t="s">
        <v>105</v>
      </c>
      <c r="J49" s="188"/>
      <c r="K49" s="188"/>
      <c r="L49" s="188"/>
      <c r="M49" s="188"/>
      <c r="N49" s="188"/>
      <c r="O49" s="188"/>
      <c r="P49" s="96">
        <v>116.39</v>
      </c>
    </row>
    <row r="50" spans="2:16" ht="12.95" customHeight="1" x14ac:dyDescent="0.2">
      <c r="B50" s="91"/>
      <c r="C50" s="91"/>
      <c r="D50" s="91"/>
      <c r="E50" s="90"/>
      <c r="F50" s="90"/>
      <c r="G50" s="88"/>
      <c r="H50" s="90"/>
      <c r="I50" s="187" t="s">
        <v>101</v>
      </c>
      <c r="J50" s="188"/>
      <c r="K50" s="188"/>
      <c r="L50" s="188"/>
      <c r="M50" s="188"/>
      <c r="N50" s="188"/>
      <c r="O50" s="188"/>
      <c r="P50" s="96">
        <v>102.21</v>
      </c>
    </row>
    <row r="51" spans="2:16" ht="12.95" customHeight="1" x14ac:dyDescent="0.2">
      <c r="B51" s="140"/>
      <c r="C51" s="140"/>
      <c r="D51" s="141"/>
      <c r="E51" s="90"/>
      <c r="F51" s="90"/>
      <c r="I51" s="191" t="s">
        <v>102</v>
      </c>
      <c r="J51" s="192"/>
      <c r="K51" s="192"/>
      <c r="L51" s="192"/>
      <c r="M51" s="192"/>
      <c r="N51" s="192"/>
      <c r="O51" s="192"/>
      <c r="P51" s="134">
        <v>47.9</v>
      </c>
    </row>
  </sheetData>
  <sheetProtection algorithmName="SHA-512" hashValue="4jzK8ZvX2enLB7XvQzJY5oBOEHd0Ji36C/eNPcDZ5PohOno8KSDvFrE+pnjHz1sTIKIZtU0jQTJKVXQw6vg5MQ==" saltValue="eOm12XgkpyEt6ldFR7zCJw==" spinCount="100000" sheet="1" selectLockedCells="1" selectUnlockedCells="1"/>
  <autoFilter ref="B3:P51" xr:uid="{00000000-0009-0000-0000-000009000000}"/>
  <sortState xmlns:xlrd2="http://schemas.microsoft.com/office/spreadsheetml/2017/richdata2" ref="B27:AH37">
    <sortCondition ref="E27:E37"/>
  </sortState>
  <mergeCells count="16">
    <mergeCell ref="I47:O47"/>
    <mergeCell ref="I48:O48"/>
    <mergeCell ref="I49:O49"/>
    <mergeCell ref="I50:O50"/>
    <mergeCell ref="I51:O51"/>
    <mergeCell ref="F2:P2"/>
    <mergeCell ref="V2:AA2"/>
    <mergeCell ref="S3:T3"/>
    <mergeCell ref="I44:O44"/>
    <mergeCell ref="I45:O45"/>
    <mergeCell ref="V38:AA38"/>
    <mergeCell ref="I46:O46"/>
    <mergeCell ref="V39:AA39"/>
    <mergeCell ref="V40:AA40"/>
    <mergeCell ref="V42:AA42"/>
    <mergeCell ref="V41:AA41"/>
  </mergeCells>
  <printOptions horizontalCentered="1"/>
  <pageMargins left="0.15748031496062992" right="0.15748031496062992" top="0.38" bottom="0" header="0.15748031496062992" footer="0.15748031496062992"/>
  <pageSetup paperSize="9" scale="74" orientation="landscape" cellComments="asDisplayed" r:id="rId1"/>
  <headerFooter alignWithMargins="0">
    <oddHeader>&amp;C&amp;"Calibri,Negrita"&amp;12&amp;ETABLA SALARIAL CONVENIO SERVICIOS SECURITAS, S.A. 2019</oddHeader>
  </headerFooter>
  <rowBreaks count="1" manualBreakCount="1">
    <brk id="42" max="16383" man="1"/>
  </rowBreak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91069-BD19-4B0E-876F-A047B2B55C87}">
  <dimension ref="A1:R39"/>
  <sheetViews>
    <sheetView workbookViewId="0">
      <selection activeCell="G25" sqref="G25"/>
    </sheetView>
  </sheetViews>
  <sheetFormatPr baseColWidth="10" defaultColWidth="11.42578125" defaultRowHeight="12.75" x14ac:dyDescent="0.2"/>
  <cols>
    <col min="1" max="1" width="24.140625" style="73" bestFit="1" customWidth="1"/>
    <col min="2" max="13" width="9.140625" style="73" customWidth="1"/>
    <col min="14" max="14" width="6.42578125" style="73" bestFit="1" customWidth="1"/>
    <col min="15" max="15" width="1.140625" style="73" customWidth="1"/>
    <col min="16" max="16" width="11.140625" style="73" bestFit="1" customWidth="1"/>
    <col min="17" max="17" width="12.5703125" style="73" bestFit="1" customWidth="1"/>
    <col min="18" max="18" width="11.140625" style="73" bestFit="1" customWidth="1"/>
    <col min="19" max="16384" width="11.42578125" style="73"/>
  </cols>
  <sheetData>
    <row r="1" spans="1:18" x14ac:dyDescent="0.2">
      <c r="A1" s="155" t="s">
        <v>132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</row>
    <row r="2" spans="1:18" x14ac:dyDescent="0.2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</row>
    <row r="3" spans="1:18" ht="17.25" customHeight="1" x14ac:dyDescent="0.2">
      <c r="A3" s="155"/>
      <c r="B3" s="170" t="s">
        <v>120</v>
      </c>
      <c r="C3" s="170" t="s">
        <v>121</v>
      </c>
      <c r="D3" s="170" t="s">
        <v>122</v>
      </c>
      <c r="E3" s="170" t="s">
        <v>123</v>
      </c>
      <c r="F3" s="170" t="s">
        <v>124</v>
      </c>
      <c r="G3" s="170" t="s">
        <v>125</v>
      </c>
      <c r="H3" s="170" t="s">
        <v>126</v>
      </c>
      <c r="I3" s="170" t="s">
        <v>127</v>
      </c>
      <c r="J3" s="171" t="s">
        <v>128</v>
      </c>
      <c r="K3" s="170" t="s">
        <v>129</v>
      </c>
      <c r="L3" s="171" t="s">
        <v>130</v>
      </c>
      <c r="M3" s="171" t="s">
        <v>131</v>
      </c>
      <c r="N3" s="171" t="s">
        <v>137</v>
      </c>
      <c r="O3" s="155"/>
      <c r="P3" s="172" t="s">
        <v>135</v>
      </c>
      <c r="Q3" s="172" t="s">
        <v>134</v>
      </c>
      <c r="R3" s="172" t="s">
        <v>136</v>
      </c>
    </row>
    <row r="4" spans="1:18" x14ac:dyDescent="0.2">
      <c r="A4" s="155" t="s">
        <v>2</v>
      </c>
      <c r="B4" s="156">
        <v>857.14</v>
      </c>
      <c r="C4" s="156">
        <v>857.14</v>
      </c>
      <c r="D4" s="156">
        <v>857.14</v>
      </c>
      <c r="E4" s="156">
        <v>857.14</v>
      </c>
      <c r="F4" s="156">
        <v>857.14</v>
      </c>
      <c r="G4" s="156">
        <v>857.14</v>
      </c>
      <c r="H4" s="156">
        <v>900</v>
      </c>
      <c r="I4" s="156">
        <v>900</v>
      </c>
      <c r="J4" s="156">
        <v>900</v>
      </c>
      <c r="K4" s="156">
        <v>900</v>
      </c>
      <c r="L4" s="156">
        <v>900</v>
      </c>
      <c r="M4" s="156">
        <v>900</v>
      </c>
      <c r="N4" s="156"/>
      <c r="O4" s="156"/>
      <c r="P4" s="173">
        <f>SUM(B8:G8)</f>
        <v>428.57</v>
      </c>
      <c r="Q4" s="174">
        <f>SUM(B9:M9)</f>
        <v>878.57000000000153</v>
      </c>
      <c r="R4" s="175">
        <f>SUM(H10:M10)</f>
        <v>450.0000000000008</v>
      </c>
    </row>
    <row r="5" spans="1:18" x14ac:dyDescent="0.2">
      <c r="A5" s="155" t="s">
        <v>119</v>
      </c>
      <c r="B5" s="156">
        <v>30</v>
      </c>
      <c r="C5" s="156">
        <v>30</v>
      </c>
      <c r="D5" s="156">
        <v>30</v>
      </c>
      <c r="E5" s="156">
        <v>30</v>
      </c>
      <c r="F5" s="156">
        <v>30</v>
      </c>
      <c r="G5" s="156">
        <v>30</v>
      </c>
      <c r="H5" s="156">
        <v>0</v>
      </c>
      <c r="I5" s="156">
        <v>0</v>
      </c>
      <c r="J5" s="156">
        <v>0</v>
      </c>
      <c r="K5" s="156">
        <v>0</v>
      </c>
      <c r="L5" s="156">
        <v>0</v>
      </c>
      <c r="M5" s="156">
        <v>0</v>
      </c>
      <c r="N5" s="156"/>
      <c r="O5" s="156"/>
      <c r="P5" s="156"/>
      <c r="Q5" s="155"/>
      <c r="R5" s="155"/>
    </row>
    <row r="6" spans="1:18" x14ac:dyDescent="0.2">
      <c r="A6" s="155" t="s">
        <v>4</v>
      </c>
      <c r="B6" s="156">
        <v>20</v>
      </c>
      <c r="C6" s="156">
        <v>20</v>
      </c>
      <c r="D6" s="156">
        <v>20</v>
      </c>
      <c r="E6" s="156">
        <v>20</v>
      </c>
      <c r="F6" s="156">
        <v>20</v>
      </c>
      <c r="G6" s="156">
        <v>20</v>
      </c>
      <c r="H6" s="156">
        <v>0</v>
      </c>
      <c r="I6" s="156">
        <v>0</v>
      </c>
      <c r="J6" s="156">
        <v>0</v>
      </c>
      <c r="K6" s="156">
        <v>0</v>
      </c>
      <c r="L6" s="156">
        <v>0</v>
      </c>
      <c r="M6" s="156">
        <v>0</v>
      </c>
      <c r="N6" s="156"/>
      <c r="O6" s="156"/>
      <c r="P6" s="156"/>
      <c r="Q6" s="155"/>
      <c r="R6" s="155"/>
    </row>
    <row r="7" spans="1:18" ht="20.25" customHeight="1" x14ac:dyDescent="0.2">
      <c r="A7" s="176" t="s">
        <v>6</v>
      </c>
      <c r="B7" s="156">
        <f>SUM(B4:B6)</f>
        <v>907.14</v>
      </c>
      <c r="C7" s="156">
        <f t="shared" ref="C7:M7" si="0">SUM(C4:C6)</f>
        <v>907.14</v>
      </c>
      <c r="D7" s="156">
        <f t="shared" si="0"/>
        <v>907.14</v>
      </c>
      <c r="E7" s="156">
        <f t="shared" si="0"/>
        <v>907.14</v>
      </c>
      <c r="F7" s="156">
        <f t="shared" si="0"/>
        <v>907.14</v>
      </c>
      <c r="G7" s="156">
        <f t="shared" si="0"/>
        <v>907.14</v>
      </c>
      <c r="H7" s="156">
        <f t="shared" si="0"/>
        <v>900</v>
      </c>
      <c r="I7" s="156">
        <f t="shared" si="0"/>
        <v>900</v>
      </c>
      <c r="J7" s="156">
        <f t="shared" si="0"/>
        <v>900</v>
      </c>
      <c r="K7" s="156">
        <f t="shared" si="0"/>
        <v>900</v>
      </c>
      <c r="L7" s="156">
        <f t="shared" si="0"/>
        <v>900</v>
      </c>
      <c r="M7" s="156">
        <f t="shared" si="0"/>
        <v>900</v>
      </c>
      <c r="N7" s="156"/>
      <c r="O7" s="156"/>
      <c r="P7" s="156"/>
      <c r="Q7" s="155"/>
      <c r="R7" s="155"/>
    </row>
    <row r="8" spans="1:18" x14ac:dyDescent="0.2">
      <c r="A8" s="155" t="s">
        <v>139</v>
      </c>
      <c r="B8" s="173">
        <f>+B4*2/12/2</f>
        <v>71.428333333333327</v>
      </c>
      <c r="C8" s="173">
        <f t="shared" ref="C8:G8" si="1">+C4*2/12/2</f>
        <v>71.428333333333327</v>
      </c>
      <c r="D8" s="173">
        <f t="shared" si="1"/>
        <v>71.428333333333327</v>
      </c>
      <c r="E8" s="173">
        <f t="shared" si="1"/>
        <v>71.428333333333327</v>
      </c>
      <c r="F8" s="173">
        <f t="shared" si="1"/>
        <v>71.428333333333327</v>
      </c>
      <c r="G8" s="173">
        <f t="shared" si="1"/>
        <v>71.428333333333327</v>
      </c>
      <c r="H8" s="156"/>
      <c r="I8" s="156"/>
      <c r="J8" s="156"/>
      <c r="K8" s="156"/>
      <c r="L8" s="156"/>
      <c r="M8" s="156"/>
      <c r="N8" s="156"/>
      <c r="O8" s="156"/>
      <c r="P8" s="156"/>
      <c r="Q8" s="155"/>
      <c r="R8" s="155"/>
    </row>
    <row r="9" spans="1:18" x14ac:dyDescent="0.2">
      <c r="A9" s="179" t="s">
        <v>140</v>
      </c>
      <c r="B9" s="174">
        <f>+B4*0.166666666666667/2</f>
        <v>71.42833333333347</v>
      </c>
      <c r="C9" s="174">
        <f t="shared" ref="C9:M9" si="2">+C4*0.166666666666667/2</f>
        <v>71.42833333333347</v>
      </c>
      <c r="D9" s="174">
        <f t="shared" si="2"/>
        <v>71.42833333333347</v>
      </c>
      <c r="E9" s="174">
        <f t="shared" si="2"/>
        <v>71.42833333333347</v>
      </c>
      <c r="F9" s="174">
        <f t="shared" si="2"/>
        <v>71.42833333333347</v>
      </c>
      <c r="G9" s="174">
        <f t="shared" si="2"/>
        <v>71.42833333333347</v>
      </c>
      <c r="H9" s="174">
        <f t="shared" si="2"/>
        <v>75.000000000000142</v>
      </c>
      <c r="I9" s="174">
        <f t="shared" si="2"/>
        <v>75.000000000000142</v>
      </c>
      <c r="J9" s="174">
        <f t="shared" si="2"/>
        <v>75.000000000000142</v>
      </c>
      <c r="K9" s="174">
        <f t="shared" si="2"/>
        <v>75.000000000000142</v>
      </c>
      <c r="L9" s="174">
        <f t="shared" si="2"/>
        <v>75.000000000000142</v>
      </c>
      <c r="M9" s="174">
        <f t="shared" si="2"/>
        <v>75.000000000000142</v>
      </c>
      <c r="N9" s="156"/>
      <c r="O9" s="156"/>
      <c r="P9" s="156"/>
      <c r="Q9" s="155"/>
      <c r="R9" s="155"/>
    </row>
    <row r="10" spans="1:18" x14ac:dyDescent="0.2">
      <c r="A10" s="155" t="s">
        <v>141</v>
      </c>
      <c r="B10" s="156"/>
      <c r="C10" s="156"/>
      <c r="D10" s="156"/>
      <c r="E10" s="156"/>
      <c r="F10" s="156"/>
      <c r="G10" s="156"/>
      <c r="H10" s="175">
        <f>+H4*0.166666666666667/2</f>
        <v>75.000000000000142</v>
      </c>
      <c r="I10" s="175">
        <f t="shared" ref="I10:M10" si="3">+I4*0.166666666666667/2</f>
        <v>75.000000000000142</v>
      </c>
      <c r="J10" s="175">
        <f t="shared" si="3"/>
        <v>75.000000000000142</v>
      </c>
      <c r="K10" s="175">
        <f t="shared" si="3"/>
        <v>75.000000000000142</v>
      </c>
      <c r="L10" s="175">
        <f t="shared" si="3"/>
        <v>75.000000000000142</v>
      </c>
      <c r="M10" s="175">
        <f t="shared" si="3"/>
        <v>75.000000000000142</v>
      </c>
      <c r="N10" s="156"/>
      <c r="O10" s="156"/>
      <c r="P10" s="156"/>
      <c r="Q10" s="155"/>
      <c r="R10" s="155"/>
    </row>
    <row r="11" spans="1:18" x14ac:dyDescent="0.2">
      <c r="A11" s="155"/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5"/>
      <c r="R11" s="155"/>
    </row>
    <row r="12" spans="1:18" ht="15" x14ac:dyDescent="0.2">
      <c r="A12" s="155" t="s">
        <v>133</v>
      </c>
      <c r="B12" s="156">
        <f>+B7-900</f>
        <v>7.1399999999999864</v>
      </c>
      <c r="C12" s="156">
        <f t="shared" ref="C12:M12" si="4">+C7-900</f>
        <v>7.1399999999999864</v>
      </c>
      <c r="D12" s="156">
        <f t="shared" si="4"/>
        <v>7.1399999999999864</v>
      </c>
      <c r="E12" s="156">
        <f t="shared" si="4"/>
        <v>7.1399999999999864</v>
      </c>
      <c r="F12" s="156">
        <f t="shared" si="4"/>
        <v>7.1399999999999864</v>
      </c>
      <c r="G12" s="156">
        <f t="shared" si="4"/>
        <v>7.1399999999999864</v>
      </c>
      <c r="H12" s="156">
        <f t="shared" si="4"/>
        <v>0</v>
      </c>
      <c r="I12" s="156">
        <f t="shared" si="4"/>
        <v>0</v>
      </c>
      <c r="J12" s="156">
        <f t="shared" si="4"/>
        <v>0</v>
      </c>
      <c r="K12" s="156">
        <f t="shared" si="4"/>
        <v>0</v>
      </c>
      <c r="L12" s="156">
        <f t="shared" si="4"/>
        <v>0</v>
      </c>
      <c r="M12" s="156">
        <f t="shared" si="4"/>
        <v>0</v>
      </c>
      <c r="N12" s="177">
        <f>SUM(B12:M12)</f>
        <v>42.839999999999918</v>
      </c>
      <c r="O12" s="156"/>
      <c r="P12" s="156"/>
      <c r="Q12" s="155"/>
      <c r="R12" s="155"/>
    </row>
    <row r="13" spans="1:18" x14ac:dyDescent="0.2">
      <c r="A13" s="155"/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5"/>
      <c r="R13" s="155"/>
    </row>
    <row r="14" spans="1:18" ht="15" x14ac:dyDescent="0.2">
      <c r="A14" s="178" t="s">
        <v>138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77">
        <f>450-P4</f>
        <v>21.430000000000007</v>
      </c>
      <c r="Q14" s="177">
        <f>900-Q4</f>
        <v>21.429999999998472</v>
      </c>
      <c r="R14" s="155"/>
    </row>
    <row r="15" spans="1:18" x14ac:dyDescent="0.2"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</row>
    <row r="16" spans="1:18" x14ac:dyDescent="0.2"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</row>
    <row r="17" spans="2:16" x14ac:dyDescent="0.2"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</row>
    <row r="18" spans="2:16" x14ac:dyDescent="0.2"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</row>
    <row r="19" spans="2:16" x14ac:dyDescent="0.2"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</row>
    <row r="20" spans="2:16" x14ac:dyDescent="0.2"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</row>
    <row r="21" spans="2:16" x14ac:dyDescent="0.2"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</row>
    <row r="22" spans="2:16" x14ac:dyDescent="0.2"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</row>
    <row r="23" spans="2:16" x14ac:dyDescent="0.2"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</row>
    <row r="24" spans="2:16" x14ac:dyDescent="0.2"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</row>
    <row r="25" spans="2:16" x14ac:dyDescent="0.2"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</row>
    <row r="26" spans="2:16" x14ac:dyDescent="0.2"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</row>
    <row r="27" spans="2:16" x14ac:dyDescent="0.2"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</row>
    <row r="28" spans="2:16" x14ac:dyDescent="0.2"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</row>
    <row r="29" spans="2:16" x14ac:dyDescent="0.2"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</row>
    <row r="30" spans="2:16" x14ac:dyDescent="0.2"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</row>
    <row r="31" spans="2:16" x14ac:dyDescent="0.2"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</row>
    <row r="32" spans="2:16" x14ac:dyDescent="0.2"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</row>
    <row r="33" spans="2:16" x14ac:dyDescent="0.2"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</row>
    <row r="34" spans="2:16" x14ac:dyDescent="0.2"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</row>
    <row r="35" spans="2:16" x14ac:dyDescent="0.2"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</row>
    <row r="36" spans="2:16" x14ac:dyDescent="0.2"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</row>
    <row r="37" spans="2:16" x14ac:dyDescent="0.2"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</row>
    <row r="38" spans="2:16" x14ac:dyDescent="0.2"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</row>
    <row r="39" spans="2:16" x14ac:dyDescent="0.2"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4350A-7A26-4803-8C95-AE69ACF6089A}">
  <sheetPr>
    <pageSetUpPr fitToPage="1"/>
  </sheetPr>
  <dimension ref="A1:AA51"/>
  <sheetViews>
    <sheetView tabSelected="1" zoomScaleNormal="100" workbookViewId="0">
      <pane ySplit="3" topLeftCell="A19" activePane="bottomLeft" state="frozen"/>
      <selection pane="bottomLeft"/>
    </sheetView>
  </sheetViews>
  <sheetFormatPr baseColWidth="10" defaultColWidth="10.140625" defaultRowHeight="12.75" x14ac:dyDescent="0.2"/>
  <cols>
    <col min="1" max="1" width="9" style="73" customWidth="1"/>
    <col min="2" max="2" width="6.42578125" style="136" bestFit="1" customWidth="1"/>
    <col min="3" max="3" width="6.42578125" style="136" customWidth="1"/>
    <col min="4" max="4" width="9.7109375" style="136" bestFit="1" customWidth="1"/>
    <col min="5" max="5" width="42.28515625" style="73" bestFit="1" customWidth="1"/>
    <col min="6" max="6" width="9.85546875" style="73" customWidth="1"/>
    <col min="7" max="7" width="10.7109375" style="73" hidden="1" customWidth="1"/>
    <col min="8" max="8" width="9.7109375" style="73" hidden="1" customWidth="1"/>
    <col min="9" max="9" width="7.140625" style="73" customWidth="1"/>
    <col min="10" max="10" width="9.85546875" style="73" hidden="1" customWidth="1"/>
    <col min="11" max="11" width="6.42578125" style="73" customWidth="1"/>
    <col min="12" max="12" width="10.7109375" style="73" hidden="1" customWidth="1"/>
    <col min="13" max="13" width="7.28515625" style="73" customWidth="1"/>
    <col min="14" max="14" width="10.7109375" style="73" hidden="1" customWidth="1"/>
    <col min="15" max="16" width="9.85546875" style="73" customWidth="1"/>
    <col min="17" max="17" width="7.5703125" style="73" hidden="1" customWidth="1"/>
    <col min="18" max="18" width="11.5703125" style="73" hidden="1" customWidth="1"/>
    <col min="19" max="19" width="8.85546875" style="73" hidden="1" customWidth="1"/>
    <col min="20" max="20" width="6.85546875" style="73" hidden="1" customWidth="1"/>
    <col min="21" max="21" width="2" style="73" customWidth="1"/>
    <col min="22" max="22" width="7" style="73" bestFit="1" customWidth="1"/>
    <col min="23" max="16384" width="10.140625" style="73"/>
  </cols>
  <sheetData>
    <row r="1" spans="1:27" s="169" customFormat="1" ht="18" customHeight="1" x14ac:dyDescent="0.25">
      <c r="B1" s="167" t="s">
        <v>147</v>
      </c>
      <c r="C1" s="168"/>
      <c r="D1" s="168"/>
    </row>
    <row r="2" spans="1:27" s="165" customFormat="1" ht="13.15" customHeight="1" x14ac:dyDescent="0.2">
      <c r="B2" s="164"/>
      <c r="C2" s="164"/>
      <c r="D2" s="16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66"/>
      <c r="R2" s="166"/>
      <c r="S2" s="166"/>
      <c r="T2" s="166"/>
      <c r="U2" s="166"/>
    </row>
    <row r="3" spans="1:27" s="137" customFormat="1" ht="39.75" customHeight="1" x14ac:dyDescent="0.2">
      <c r="A3" s="183" t="s">
        <v>144</v>
      </c>
      <c r="B3" s="130" t="s">
        <v>69</v>
      </c>
      <c r="C3" s="130" t="s">
        <v>70</v>
      </c>
      <c r="D3" s="130" t="s">
        <v>0</v>
      </c>
      <c r="E3" s="131" t="s">
        <v>1</v>
      </c>
      <c r="F3" s="132" t="s">
        <v>2</v>
      </c>
      <c r="G3" s="74">
        <v>110021</v>
      </c>
      <c r="H3" s="74">
        <v>122520</v>
      </c>
      <c r="I3" s="132" t="s">
        <v>3</v>
      </c>
      <c r="J3" s="75">
        <v>15220</v>
      </c>
      <c r="K3" s="132" t="s">
        <v>4</v>
      </c>
      <c r="L3" s="75">
        <v>116220</v>
      </c>
      <c r="M3" s="132" t="s">
        <v>5</v>
      </c>
      <c r="N3" s="74">
        <v>117520</v>
      </c>
      <c r="O3" s="180" t="s">
        <v>62</v>
      </c>
      <c r="P3" s="132" t="s">
        <v>63</v>
      </c>
      <c r="Q3" s="182" t="s">
        <v>111</v>
      </c>
      <c r="R3" s="154" t="s">
        <v>112</v>
      </c>
      <c r="S3" s="198" t="s">
        <v>113</v>
      </c>
      <c r="T3" s="199"/>
    </row>
    <row r="4" spans="1:27" ht="18" customHeight="1" x14ac:dyDescent="0.2">
      <c r="B4" s="76"/>
      <c r="C4" s="76"/>
      <c r="D4" s="76"/>
      <c r="E4" s="123" t="s">
        <v>13</v>
      </c>
      <c r="F4" s="77"/>
      <c r="G4" s="78"/>
      <c r="H4" s="78"/>
      <c r="I4" s="77"/>
      <c r="J4" s="78"/>
      <c r="K4" s="77"/>
      <c r="L4" s="78"/>
      <c r="M4" s="77"/>
      <c r="N4" s="77"/>
      <c r="O4" s="77"/>
      <c r="P4" s="77"/>
    </row>
    <row r="5" spans="1:27" ht="14.1" customHeight="1" x14ac:dyDescent="0.2">
      <c r="A5" s="184" t="s">
        <v>145</v>
      </c>
      <c r="B5" s="80">
        <v>1</v>
      </c>
      <c r="C5" s="80" t="s">
        <v>71</v>
      </c>
      <c r="D5" s="107">
        <v>2102</v>
      </c>
      <c r="E5" s="97" t="s">
        <v>14</v>
      </c>
      <c r="F5" s="110">
        <v>1619.27</v>
      </c>
      <c r="G5" s="143">
        <f t="shared" ref="G5:G19" si="0">F5/30</f>
        <v>53.975666666666669</v>
      </c>
      <c r="H5" s="143" t="e">
        <f>+#REF!/30</f>
        <v>#REF!</v>
      </c>
      <c r="I5" s="110"/>
      <c r="J5" s="145">
        <f t="shared" ref="J5:J25" si="1">I5/30</f>
        <v>0</v>
      </c>
      <c r="K5" s="113"/>
      <c r="L5" s="114"/>
      <c r="M5" s="113"/>
      <c r="N5" s="113"/>
      <c r="O5" s="115">
        <f t="shared" ref="O5:O12" si="2">+M5+K5+I5+F5</f>
        <v>1619.27</v>
      </c>
      <c r="P5" s="113">
        <f t="shared" ref="P5:P12" si="3">((F5+M5)*14)+((I5+K5)*12)</f>
        <v>22669.78</v>
      </c>
      <c r="Q5" s="155">
        <v>12600</v>
      </c>
      <c r="R5" s="156">
        <f t="shared" ref="R5:R12" si="4">+P5-Q5</f>
        <v>10069.779999999999</v>
      </c>
      <c r="S5" s="155"/>
      <c r="T5" s="155"/>
      <c r="W5" s="142"/>
      <c r="X5" s="142"/>
      <c r="Z5" s="142"/>
      <c r="AA5" s="142"/>
    </row>
    <row r="6" spans="1:27" ht="14.1" customHeight="1" x14ac:dyDescent="0.2">
      <c r="A6" s="184" t="s">
        <v>145</v>
      </c>
      <c r="B6" s="80">
        <v>1</v>
      </c>
      <c r="C6" s="80" t="s">
        <v>71</v>
      </c>
      <c r="D6" s="107">
        <v>2105</v>
      </c>
      <c r="E6" s="97" t="s">
        <v>15</v>
      </c>
      <c r="F6" s="110">
        <v>1542.58</v>
      </c>
      <c r="G6" s="143">
        <f t="shared" si="0"/>
        <v>51.419333333333334</v>
      </c>
      <c r="H6" s="143" t="e">
        <f>+#REF!/30</f>
        <v>#REF!</v>
      </c>
      <c r="I6" s="110"/>
      <c r="J6" s="145">
        <f t="shared" si="1"/>
        <v>0</v>
      </c>
      <c r="K6" s="113"/>
      <c r="L6" s="114"/>
      <c r="M6" s="113"/>
      <c r="N6" s="113"/>
      <c r="O6" s="115">
        <f t="shared" si="2"/>
        <v>1542.58</v>
      </c>
      <c r="P6" s="113">
        <f t="shared" si="3"/>
        <v>21596.12</v>
      </c>
      <c r="Q6" s="155">
        <v>12600</v>
      </c>
      <c r="R6" s="156">
        <f t="shared" si="4"/>
        <v>8996.119999999999</v>
      </c>
      <c r="S6" s="155"/>
      <c r="T6" s="155"/>
    </row>
    <row r="7" spans="1:27" ht="14.1" customHeight="1" x14ac:dyDescent="0.2">
      <c r="A7" s="184" t="s">
        <v>145</v>
      </c>
      <c r="B7" s="80">
        <v>1</v>
      </c>
      <c r="C7" s="80" t="s">
        <v>71</v>
      </c>
      <c r="D7" s="107">
        <v>2109</v>
      </c>
      <c r="E7" s="97" t="s">
        <v>16</v>
      </c>
      <c r="F7" s="110">
        <v>1542.58</v>
      </c>
      <c r="G7" s="143">
        <f t="shared" si="0"/>
        <v>51.419333333333334</v>
      </c>
      <c r="H7" s="143" t="e">
        <f>+#REF!/30</f>
        <v>#REF!</v>
      </c>
      <c r="I7" s="110"/>
      <c r="J7" s="145">
        <f t="shared" si="1"/>
        <v>0</v>
      </c>
      <c r="K7" s="113"/>
      <c r="L7" s="114"/>
      <c r="M7" s="113"/>
      <c r="N7" s="113"/>
      <c r="O7" s="115">
        <f t="shared" si="2"/>
        <v>1542.58</v>
      </c>
      <c r="P7" s="113">
        <f t="shared" si="3"/>
        <v>21596.12</v>
      </c>
      <c r="Q7" s="155">
        <v>12600</v>
      </c>
      <c r="R7" s="156">
        <f t="shared" si="4"/>
        <v>8996.119999999999</v>
      </c>
      <c r="S7" s="155"/>
      <c r="T7" s="155"/>
    </row>
    <row r="8" spans="1:27" ht="14.1" customHeight="1" x14ac:dyDescent="0.2">
      <c r="A8" s="184" t="s">
        <v>145</v>
      </c>
      <c r="B8" s="80">
        <v>1</v>
      </c>
      <c r="C8" s="80" t="s">
        <v>71</v>
      </c>
      <c r="D8" s="107">
        <v>2103</v>
      </c>
      <c r="E8" s="97" t="s">
        <v>46</v>
      </c>
      <c r="F8" s="110">
        <v>1542.58</v>
      </c>
      <c r="G8" s="143">
        <f t="shared" si="0"/>
        <v>51.419333333333334</v>
      </c>
      <c r="H8" s="143" t="e">
        <f>+#REF!/30</f>
        <v>#REF!</v>
      </c>
      <c r="I8" s="110"/>
      <c r="J8" s="145">
        <f t="shared" si="1"/>
        <v>0</v>
      </c>
      <c r="K8" s="113"/>
      <c r="L8" s="114"/>
      <c r="M8" s="113"/>
      <c r="N8" s="113"/>
      <c r="O8" s="115">
        <f t="shared" si="2"/>
        <v>1542.58</v>
      </c>
      <c r="P8" s="113">
        <f t="shared" si="3"/>
        <v>21596.12</v>
      </c>
      <c r="Q8" s="155">
        <v>12600</v>
      </c>
      <c r="R8" s="156">
        <f t="shared" si="4"/>
        <v>8996.119999999999</v>
      </c>
      <c r="S8" s="155"/>
      <c r="T8" s="155"/>
    </row>
    <row r="9" spans="1:27" ht="14.1" customHeight="1" x14ac:dyDescent="0.2">
      <c r="A9" s="184" t="s">
        <v>145</v>
      </c>
      <c r="B9" s="80">
        <v>3</v>
      </c>
      <c r="C9" s="80" t="s">
        <v>71</v>
      </c>
      <c r="D9" s="107">
        <v>2122</v>
      </c>
      <c r="E9" s="97" t="s">
        <v>17</v>
      </c>
      <c r="F9" s="110">
        <v>1469.88</v>
      </c>
      <c r="G9" s="143">
        <f t="shared" si="0"/>
        <v>48.996000000000002</v>
      </c>
      <c r="H9" s="143" t="e">
        <f>+#REF!/30</f>
        <v>#REF!</v>
      </c>
      <c r="I9" s="110"/>
      <c r="J9" s="145">
        <f t="shared" si="1"/>
        <v>0</v>
      </c>
      <c r="K9" s="113"/>
      <c r="L9" s="114"/>
      <c r="M9" s="113"/>
      <c r="N9" s="113"/>
      <c r="O9" s="115">
        <f t="shared" si="2"/>
        <v>1469.88</v>
      </c>
      <c r="P9" s="113">
        <f t="shared" si="3"/>
        <v>20578.32</v>
      </c>
      <c r="Q9" s="155">
        <v>12600</v>
      </c>
      <c r="R9" s="156">
        <f t="shared" si="4"/>
        <v>7978.32</v>
      </c>
      <c r="S9" s="155"/>
      <c r="T9" s="155"/>
    </row>
    <row r="10" spans="1:27" ht="14.1" customHeight="1" x14ac:dyDescent="0.2">
      <c r="A10" s="184" t="s">
        <v>145</v>
      </c>
      <c r="B10" s="80">
        <v>1</v>
      </c>
      <c r="C10" s="80" t="s">
        <v>71</v>
      </c>
      <c r="D10" s="107">
        <v>2126</v>
      </c>
      <c r="E10" s="97" t="s">
        <v>47</v>
      </c>
      <c r="F10" s="110">
        <v>1469.88</v>
      </c>
      <c r="G10" s="143">
        <f t="shared" si="0"/>
        <v>48.996000000000002</v>
      </c>
      <c r="H10" s="143" t="e">
        <f>+#REF!/30</f>
        <v>#REF!</v>
      </c>
      <c r="I10" s="110"/>
      <c r="J10" s="145">
        <f t="shared" si="1"/>
        <v>0</v>
      </c>
      <c r="K10" s="113"/>
      <c r="L10" s="114"/>
      <c r="M10" s="113"/>
      <c r="N10" s="113"/>
      <c r="O10" s="115">
        <f t="shared" si="2"/>
        <v>1469.88</v>
      </c>
      <c r="P10" s="113">
        <f t="shared" si="3"/>
        <v>20578.32</v>
      </c>
      <c r="Q10" s="155">
        <v>12600</v>
      </c>
      <c r="R10" s="156">
        <f t="shared" si="4"/>
        <v>7978.32</v>
      </c>
      <c r="S10" s="155"/>
      <c r="T10" s="155"/>
    </row>
    <row r="11" spans="1:27" ht="14.1" customHeight="1" x14ac:dyDescent="0.2">
      <c r="A11" s="184" t="s">
        <v>145</v>
      </c>
      <c r="B11" s="80">
        <v>1</v>
      </c>
      <c r="C11" s="80" t="s">
        <v>71</v>
      </c>
      <c r="D11" s="107">
        <v>2113</v>
      </c>
      <c r="E11" s="97" t="s">
        <v>18</v>
      </c>
      <c r="F11" s="110">
        <v>1469.88</v>
      </c>
      <c r="G11" s="143">
        <f t="shared" si="0"/>
        <v>48.996000000000002</v>
      </c>
      <c r="H11" s="143" t="e">
        <f>+#REF!/30</f>
        <v>#REF!</v>
      </c>
      <c r="I11" s="110"/>
      <c r="J11" s="145">
        <f t="shared" si="1"/>
        <v>0</v>
      </c>
      <c r="K11" s="113"/>
      <c r="L11" s="114"/>
      <c r="M11" s="113"/>
      <c r="N11" s="113"/>
      <c r="O11" s="115">
        <f t="shared" si="2"/>
        <v>1469.88</v>
      </c>
      <c r="P11" s="113">
        <f t="shared" si="3"/>
        <v>20578.32</v>
      </c>
      <c r="Q11" s="155">
        <v>12600</v>
      </c>
      <c r="R11" s="156">
        <f t="shared" si="4"/>
        <v>7978.32</v>
      </c>
      <c r="S11" s="155"/>
      <c r="T11" s="155"/>
    </row>
    <row r="12" spans="1:27" ht="14.1" customHeight="1" x14ac:dyDescent="0.2">
      <c r="A12" s="184" t="s">
        <v>145</v>
      </c>
      <c r="B12" s="80">
        <v>2</v>
      </c>
      <c r="C12" s="80" t="s">
        <v>71</v>
      </c>
      <c r="D12" s="107">
        <v>2114</v>
      </c>
      <c r="E12" s="97" t="s">
        <v>19</v>
      </c>
      <c r="F12" s="110">
        <v>1400.84</v>
      </c>
      <c r="G12" s="143">
        <f t="shared" si="0"/>
        <v>46.694666666666663</v>
      </c>
      <c r="H12" s="143" t="e">
        <f>+#REF!/30</f>
        <v>#REF!</v>
      </c>
      <c r="I12" s="110"/>
      <c r="J12" s="145">
        <f t="shared" si="1"/>
        <v>0</v>
      </c>
      <c r="K12" s="113"/>
      <c r="L12" s="114"/>
      <c r="M12" s="113"/>
      <c r="N12" s="113"/>
      <c r="O12" s="115">
        <f t="shared" si="2"/>
        <v>1400.84</v>
      </c>
      <c r="P12" s="113">
        <f t="shared" si="3"/>
        <v>19611.759999999998</v>
      </c>
      <c r="Q12" s="155">
        <v>12600</v>
      </c>
      <c r="R12" s="156">
        <f t="shared" si="4"/>
        <v>7011.7599999999984</v>
      </c>
      <c r="S12" s="155"/>
      <c r="T12" s="155"/>
    </row>
    <row r="13" spans="1:27" ht="18" customHeight="1" x14ac:dyDescent="0.2">
      <c r="B13" s="76"/>
      <c r="C13" s="76"/>
      <c r="D13" s="76"/>
      <c r="E13" s="123" t="s">
        <v>20</v>
      </c>
      <c r="F13" s="77"/>
      <c r="G13" s="78"/>
      <c r="H13" s="78"/>
      <c r="I13" s="77"/>
      <c r="J13" s="78"/>
      <c r="K13" s="77"/>
      <c r="L13" s="78"/>
      <c r="M13" s="77"/>
      <c r="N13" s="77"/>
      <c r="O13" s="77"/>
      <c r="P13" s="77"/>
    </row>
    <row r="14" spans="1:27" ht="14.1" customHeight="1" x14ac:dyDescent="0.2">
      <c r="A14" s="184" t="s">
        <v>145</v>
      </c>
      <c r="B14" s="80">
        <v>3</v>
      </c>
      <c r="C14" s="80" t="s">
        <v>71</v>
      </c>
      <c r="D14" s="107">
        <v>2201</v>
      </c>
      <c r="E14" s="97" t="s">
        <v>21</v>
      </c>
      <c r="F14" s="110">
        <v>1407.83</v>
      </c>
      <c r="G14" s="143">
        <f t="shared" si="0"/>
        <v>46.927666666666667</v>
      </c>
      <c r="H14" s="143" t="e">
        <f>+#REF!/30</f>
        <v>#REF!</v>
      </c>
      <c r="I14" s="110"/>
      <c r="J14" s="145">
        <f t="shared" si="1"/>
        <v>0</v>
      </c>
      <c r="K14" s="113"/>
      <c r="L14" s="114"/>
      <c r="M14" s="113"/>
      <c r="N14" s="113"/>
      <c r="O14" s="115">
        <f t="shared" ref="O14:O19" si="5">+M14+K14+I14+F14</f>
        <v>1407.83</v>
      </c>
      <c r="P14" s="113">
        <f t="shared" ref="P14:P19" si="6">((F14+M14)*14)+((I14+K14)*12)</f>
        <v>19709.62</v>
      </c>
      <c r="Q14" s="155">
        <v>12600</v>
      </c>
      <c r="R14" s="156">
        <f t="shared" ref="R14:R19" si="7">+P14-Q14</f>
        <v>7109.619999999999</v>
      </c>
      <c r="S14" s="155"/>
      <c r="T14" s="155"/>
    </row>
    <row r="15" spans="1:27" ht="14.1" customHeight="1" x14ac:dyDescent="0.2">
      <c r="A15" s="184" t="s">
        <v>145</v>
      </c>
      <c r="B15" s="80">
        <v>3</v>
      </c>
      <c r="C15" s="80" t="s">
        <v>71</v>
      </c>
      <c r="D15" s="107">
        <v>2202</v>
      </c>
      <c r="E15" s="97" t="s">
        <v>22</v>
      </c>
      <c r="F15" s="110">
        <v>1267.56</v>
      </c>
      <c r="G15" s="143">
        <f t="shared" si="0"/>
        <v>42.251999999999995</v>
      </c>
      <c r="H15" s="143" t="e">
        <f>+#REF!/30</f>
        <v>#REF!</v>
      </c>
      <c r="I15" s="110"/>
      <c r="J15" s="145">
        <f t="shared" si="1"/>
        <v>0</v>
      </c>
      <c r="K15" s="113"/>
      <c r="L15" s="114"/>
      <c r="M15" s="113"/>
      <c r="N15" s="113"/>
      <c r="O15" s="115">
        <f t="shared" si="5"/>
        <v>1267.56</v>
      </c>
      <c r="P15" s="113">
        <f t="shared" si="6"/>
        <v>17745.84</v>
      </c>
      <c r="Q15" s="155">
        <v>12600</v>
      </c>
      <c r="R15" s="156">
        <f t="shared" si="7"/>
        <v>5145.84</v>
      </c>
      <c r="S15" s="155"/>
      <c r="T15" s="155"/>
    </row>
    <row r="16" spans="1:27" ht="14.1" customHeight="1" x14ac:dyDescent="0.2">
      <c r="A16" s="184" t="s">
        <v>145</v>
      </c>
      <c r="B16" s="80">
        <v>5</v>
      </c>
      <c r="C16" s="80" t="s">
        <v>71</v>
      </c>
      <c r="D16" s="107">
        <v>2203</v>
      </c>
      <c r="E16" s="97" t="s">
        <v>23</v>
      </c>
      <c r="F16" s="110">
        <v>1055.4000000000001</v>
      </c>
      <c r="G16" s="143">
        <f t="shared" si="0"/>
        <v>35.18</v>
      </c>
      <c r="H16" s="143" t="e">
        <f>+#REF!/30</f>
        <v>#REF!</v>
      </c>
      <c r="I16" s="110"/>
      <c r="J16" s="145">
        <f t="shared" si="1"/>
        <v>0</v>
      </c>
      <c r="K16" s="113"/>
      <c r="L16" s="114"/>
      <c r="M16" s="113"/>
      <c r="N16" s="113"/>
      <c r="O16" s="115">
        <f t="shared" si="5"/>
        <v>1055.4000000000001</v>
      </c>
      <c r="P16" s="113">
        <f t="shared" si="6"/>
        <v>14775.600000000002</v>
      </c>
      <c r="Q16" s="155">
        <v>12600</v>
      </c>
      <c r="R16" s="156">
        <f t="shared" si="7"/>
        <v>2175.6000000000022</v>
      </c>
      <c r="S16" s="155"/>
      <c r="T16" s="155"/>
    </row>
    <row r="17" spans="1:20" ht="14.1" customHeight="1" x14ac:dyDescent="0.2">
      <c r="A17" s="184" t="s">
        <v>145</v>
      </c>
      <c r="B17" s="80">
        <v>5</v>
      </c>
      <c r="C17" s="80" t="s">
        <v>71</v>
      </c>
      <c r="D17" s="107">
        <v>2204</v>
      </c>
      <c r="E17" s="97" t="s">
        <v>24</v>
      </c>
      <c r="F17" s="110">
        <v>975.09</v>
      </c>
      <c r="G17" s="143">
        <f t="shared" si="0"/>
        <v>32.503</v>
      </c>
      <c r="H17" s="143" t="e">
        <f>+#REF!/30</f>
        <v>#REF!</v>
      </c>
      <c r="I17" s="110"/>
      <c r="J17" s="145">
        <f t="shared" si="1"/>
        <v>0</v>
      </c>
      <c r="K17" s="113"/>
      <c r="L17" s="114"/>
      <c r="M17" s="113"/>
      <c r="N17" s="113"/>
      <c r="O17" s="115">
        <f t="shared" si="5"/>
        <v>975.09</v>
      </c>
      <c r="P17" s="113">
        <f t="shared" si="6"/>
        <v>13651.26</v>
      </c>
      <c r="Q17" s="155">
        <v>12600</v>
      </c>
      <c r="R17" s="156">
        <f t="shared" si="7"/>
        <v>1051.2600000000002</v>
      </c>
      <c r="S17" s="155"/>
      <c r="T17" s="155"/>
    </row>
    <row r="18" spans="1:20" ht="14.1" customHeight="1" x14ac:dyDescent="0.2">
      <c r="A18" s="184" t="s">
        <v>145</v>
      </c>
      <c r="B18" s="82">
        <v>7</v>
      </c>
      <c r="C18" s="82" t="s">
        <v>71</v>
      </c>
      <c r="D18" s="109">
        <v>2206</v>
      </c>
      <c r="E18" s="87" t="s">
        <v>25</v>
      </c>
      <c r="F18" s="122">
        <v>950</v>
      </c>
      <c r="G18" s="143">
        <f t="shared" si="0"/>
        <v>31.666666666666668</v>
      </c>
      <c r="H18" s="143" t="e">
        <f>+#REF!/30</f>
        <v>#REF!</v>
      </c>
      <c r="I18" s="110"/>
      <c r="J18" s="145">
        <f t="shared" si="1"/>
        <v>0</v>
      </c>
      <c r="K18" s="113"/>
      <c r="L18" s="114"/>
      <c r="M18" s="113"/>
      <c r="N18" s="113"/>
      <c r="O18" s="115">
        <f t="shared" si="5"/>
        <v>950</v>
      </c>
      <c r="P18" s="113">
        <f t="shared" si="6"/>
        <v>13300</v>
      </c>
      <c r="Q18" s="155">
        <v>12600</v>
      </c>
      <c r="R18" s="156">
        <f t="shared" si="7"/>
        <v>700</v>
      </c>
      <c r="S18" s="156" t="e">
        <f>+F18+#REF!+I18+K18+M18</f>
        <v>#REF!</v>
      </c>
      <c r="T18" s="155" t="e">
        <f>((F18+#REF!+M18)*14+(I18+K18)*12)</f>
        <v>#REF!</v>
      </c>
    </row>
    <row r="19" spans="1:20" ht="14.1" customHeight="1" x14ac:dyDescent="0.2">
      <c r="A19" s="184" t="s">
        <v>145</v>
      </c>
      <c r="B19" s="82">
        <v>7</v>
      </c>
      <c r="C19" s="82" t="s">
        <v>72</v>
      </c>
      <c r="D19" s="109"/>
      <c r="E19" s="87" t="s">
        <v>60</v>
      </c>
      <c r="F19" s="122">
        <v>950</v>
      </c>
      <c r="G19" s="143">
        <f t="shared" si="0"/>
        <v>31.666666666666668</v>
      </c>
      <c r="H19" s="143" t="e">
        <f>+#REF!/30</f>
        <v>#REF!</v>
      </c>
      <c r="I19" s="110"/>
      <c r="J19" s="145">
        <f t="shared" si="1"/>
        <v>0</v>
      </c>
      <c r="K19" s="113"/>
      <c r="L19" s="114"/>
      <c r="M19" s="113"/>
      <c r="N19" s="113"/>
      <c r="O19" s="115">
        <f t="shared" si="5"/>
        <v>950</v>
      </c>
      <c r="P19" s="113">
        <f t="shared" si="6"/>
        <v>13300</v>
      </c>
      <c r="Q19" s="155">
        <v>12600</v>
      </c>
      <c r="R19" s="156">
        <f t="shared" si="7"/>
        <v>700</v>
      </c>
      <c r="S19" s="156" t="e">
        <f>+F19+#REF!+I19+K19+M19</f>
        <v>#REF!</v>
      </c>
      <c r="T19" s="155" t="e">
        <f>((F19+#REF!+M19)*14+(I19+K19)*12)</f>
        <v>#REF!</v>
      </c>
    </row>
    <row r="20" spans="1:20" ht="18" customHeight="1" x14ac:dyDescent="0.2">
      <c r="B20" s="76"/>
      <c r="C20" s="76"/>
      <c r="D20" s="76"/>
      <c r="E20" s="123" t="s">
        <v>28</v>
      </c>
      <c r="F20" s="77"/>
      <c r="G20" s="78"/>
      <c r="H20" s="78"/>
      <c r="I20" s="77"/>
      <c r="J20" s="78"/>
      <c r="K20" s="77"/>
      <c r="L20" s="78"/>
      <c r="M20" s="77"/>
      <c r="N20" s="77"/>
      <c r="O20" s="77"/>
      <c r="P20" s="77"/>
    </row>
    <row r="21" spans="1:20" ht="14.1" customHeight="1" x14ac:dyDescent="0.2">
      <c r="A21" s="184" t="s">
        <v>145</v>
      </c>
      <c r="B21" s="80">
        <v>3</v>
      </c>
      <c r="C21" s="80" t="s">
        <v>72</v>
      </c>
      <c r="D21" s="107">
        <v>2504</v>
      </c>
      <c r="E21" s="97" t="s">
        <v>29</v>
      </c>
      <c r="F21" s="113">
        <v>1400.84</v>
      </c>
      <c r="G21" s="143">
        <f t="shared" ref="G21:G25" si="8">F21/30</f>
        <v>46.694666666666663</v>
      </c>
      <c r="H21" s="143" t="e">
        <f>+#REF!/30</f>
        <v>#REF!</v>
      </c>
      <c r="I21" s="113"/>
      <c r="J21" s="145">
        <f t="shared" si="1"/>
        <v>0</v>
      </c>
      <c r="K21" s="113"/>
      <c r="L21" s="114"/>
      <c r="M21" s="113"/>
      <c r="N21" s="113"/>
      <c r="O21" s="115">
        <f>+M21+K21+I21+F21</f>
        <v>1400.84</v>
      </c>
      <c r="P21" s="113">
        <f>((F21+M21)*14)+((I21+K21)*12)</f>
        <v>19611.759999999998</v>
      </c>
      <c r="Q21" s="155">
        <v>12600</v>
      </c>
      <c r="R21" s="156">
        <f>+P21-Q21</f>
        <v>7011.7599999999984</v>
      </c>
      <c r="S21" s="155"/>
      <c r="T21" s="155"/>
    </row>
    <row r="22" spans="1:20" ht="14.1" customHeight="1" x14ac:dyDescent="0.2">
      <c r="A22" s="184" t="s">
        <v>145</v>
      </c>
      <c r="B22" s="80">
        <v>5</v>
      </c>
      <c r="C22" s="80" t="s">
        <v>72</v>
      </c>
      <c r="D22" s="107">
        <v>2227</v>
      </c>
      <c r="E22" s="97" t="s">
        <v>30</v>
      </c>
      <c r="F22" s="113">
        <v>1055.4000000000001</v>
      </c>
      <c r="G22" s="143">
        <f t="shared" si="8"/>
        <v>35.18</v>
      </c>
      <c r="H22" s="143" t="e">
        <f>+#REF!/30</f>
        <v>#REF!</v>
      </c>
      <c r="I22" s="113"/>
      <c r="J22" s="145">
        <f t="shared" si="1"/>
        <v>0</v>
      </c>
      <c r="K22" s="113"/>
      <c r="L22" s="114"/>
      <c r="M22" s="113"/>
      <c r="N22" s="113"/>
      <c r="O22" s="115">
        <f>+M22+K22+I22+F22</f>
        <v>1055.4000000000001</v>
      </c>
      <c r="P22" s="113">
        <f>((F22+M22)*14)+((I22+K22)*12)</f>
        <v>14775.600000000002</v>
      </c>
      <c r="Q22" s="155">
        <v>12600</v>
      </c>
      <c r="R22" s="156">
        <f>+P22-Q22</f>
        <v>2175.6000000000022</v>
      </c>
      <c r="S22" s="155"/>
      <c r="T22" s="155"/>
    </row>
    <row r="23" spans="1:20" ht="18" customHeight="1" x14ac:dyDescent="0.2">
      <c r="B23" s="76"/>
      <c r="C23" s="76"/>
      <c r="D23" s="76"/>
      <c r="E23" s="123" t="s">
        <v>94</v>
      </c>
      <c r="F23" s="77"/>
      <c r="G23" s="78"/>
      <c r="H23" s="78"/>
      <c r="I23" s="77"/>
      <c r="J23" s="78"/>
      <c r="K23" s="77"/>
      <c r="L23" s="78"/>
      <c r="M23" s="77"/>
      <c r="N23" s="77"/>
      <c r="O23" s="77"/>
      <c r="P23" s="77"/>
    </row>
    <row r="24" spans="1:20" ht="14.1" customHeight="1" x14ac:dyDescent="0.2">
      <c r="A24" s="184" t="s">
        <v>145</v>
      </c>
      <c r="B24" s="80">
        <v>3</v>
      </c>
      <c r="C24" s="80" t="s">
        <v>72</v>
      </c>
      <c r="D24" s="107">
        <v>2120</v>
      </c>
      <c r="E24" s="97" t="s">
        <v>48</v>
      </c>
      <c r="F24" s="110">
        <v>1407.83</v>
      </c>
      <c r="G24" s="143">
        <f t="shared" si="8"/>
        <v>46.927666666666667</v>
      </c>
      <c r="H24" s="143" t="e">
        <f>+#REF!/30</f>
        <v>#REF!</v>
      </c>
      <c r="I24" s="110"/>
      <c r="J24" s="145">
        <f t="shared" si="1"/>
        <v>0</v>
      </c>
      <c r="K24" s="113"/>
      <c r="L24" s="114"/>
      <c r="M24" s="113"/>
      <c r="N24" s="113"/>
      <c r="O24" s="115">
        <f>+M24+K24+I24+F24</f>
        <v>1407.83</v>
      </c>
      <c r="P24" s="113">
        <f>((F24+M24)*14)+((I24+K24)*12)</f>
        <v>19709.62</v>
      </c>
      <c r="Q24" s="155">
        <v>12600</v>
      </c>
      <c r="R24" s="156">
        <f>+P24-Q24</f>
        <v>7109.619999999999</v>
      </c>
      <c r="S24" s="155"/>
      <c r="T24" s="155"/>
    </row>
    <row r="25" spans="1:20" ht="14.1" customHeight="1" x14ac:dyDescent="0.2">
      <c r="A25" s="184" t="s">
        <v>145</v>
      </c>
      <c r="B25" s="80">
        <v>5</v>
      </c>
      <c r="C25" s="80" t="s">
        <v>72</v>
      </c>
      <c r="D25" s="107">
        <v>2207</v>
      </c>
      <c r="E25" s="97" t="s">
        <v>49</v>
      </c>
      <c r="F25" s="110">
        <v>1063.7</v>
      </c>
      <c r="G25" s="143">
        <f t="shared" si="8"/>
        <v>35.456666666666671</v>
      </c>
      <c r="H25" s="143" t="e">
        <f>+#REF!/30</f>
        <v>#REF!</v>
      </c>
      <c r="I25" s="110"/>
      <c r="J25" s="145">
        <f t="shared" si="1"/>
        <v>0</v>
      </c>
      <c r="K25" s="113"/>
      <c r="L25" s="114"/>
      <c r="M25" s="113"/>
      <c r="N25" s="113"/>
      <c r="O25" s="115">
        <f>+M25+K25+I25+F25</f>
        <v>1063.7</v>
      </c>
      <c r="P25" s="113">
        <f>((F25+M25)*14)+((I25+K25)*12)</f>
        <v>14891.800000000001</v>
      </c>
      <c r="Q25" s="155">
        <v>12600</v>
      </c>
      <c r="R25" s="156">
        <f>+P25-Q25</f>
        <v>2291.8000000000011</v>
      </c>
      <c r="S25" s="155"/>
      <c r="T25" s="155"/>
    </row>
    <row r="26" spans="1:20" ht="18" customHeight="1" x14ac:dyDescent="0.2">
      <c r="B26" s="76"/>
      <c r="C26" s="76"/>
      <c r="D26" s="76"/>
      <c r="E26" s="123" t="s">
        <v>31</v>
      </c>
      <c r="F26" s="77"/>
      <c r="G26" s="78"/>
      <c r="H26" s="78"/>
      <c r="I26" s="77"/>
      <c r="J26" s="78"/>
      <c r="K26" s="77"/>
      <c r="L26" s="78"/>
      <c r="M26" s="77"/>
      <c r="N26" s="77"/>
      <c r="O26" s="77"/>
      <c r="P26" s="77"/>
    </row>
    <row r="27" spans="1:20" ht="14.1" customHeight="1" x14ac:dyDescent="0.2">
      <c r="A27" s="185" t="s">
        <v>146</v>
      </c>
      <c r="B27" s="82">
        <v>6</v>
      </c>
      <c r="C27" s="82" t="s">
        <v>72</v>
      </c>
      <c r="D27" s="109">
        <v>2048</v>
      </c>
      <c r="E27" s="87" t="s">
        <v>106</v>
      </c>
      <c r="F27" s="122">
        <v>950</v>
      </c>
      <c r="G27" s="143">
        <f t="shared" ref="G27:G39" si="9">F27/30</f>
        <v>31.666666666666668</v>
      </c>
      <c r="H27" s="143" t="e">
        <f>+#REF!/30</f>
        <v>#REF!</v>
      </c>
      <c r="I27" s="110"/>
      <c r="J27" s="145"/>
      <c r="K27" s="113"/>
      <c r="L27" s="143">
        <f t="shared" ref="L27:L39" si="10">K27/30</f>
        <v>0</v>
      </c>
      <c r="M27" s="113"/>
      <c r="N27" s="113"/>
      <c r="O27" s="115">
        <f t="shared" ref="O27:O42" si="11">+M27+K27+I27+F27</f>
        <v>950</v>
      </c>
      <c r="P27" s="113">
        <f t="shared" ref="P27:P41" si="12">((F27+M27)*14)+((I27+K27)*12)</f>
        <v>13300</v>
      </c>
      <c r="Q27" s="155">
        <v>12600</v>
      </c>
      <c r="R27" s="156">
        <f t="shared" ref="R27:R37" si="13">+P27-Q27</f>
        <v>700</v>
      </c>
      <c r="S27" s="156" t="e">
        <f>+F27+#REF!+I27+K27+M27</f>
        <v>#REF!</v>
      </c>
      <c r="T27" s="155" t="e">
        <f>((F27+#REF!+M27)*14+(I27+K27)*12)</f>
        <v>#REF!</v>
      </c>
    </row>
    <row r="28" spans="1:20" ht="14.1" customHeight="1" x14ac:dyDescent="0.2">
      <c r="A28" s="185" t="s">
        <v>146</v>
      </c>
      <c r="B28" s="82">
        <v>6</v>
      </c>
      <c r="C28" s="82" t="s">
        <v>73</v>
      </c>
      <c r="D28" s="109">
        <v>2047</v>
      </c>
      <c r="E28" s="87" t="s">
        <v>66</v>
      </c>
      <c r="F28" s="122">
        <v>950</v>
      </c>
      <c r="G28" s="143">
        <f t="shared" si="9"/>
        <v>31.666666666666668</v>
      </c>
      <c r="H28" s="143" t="e">
        <f>+#REF!/30</f>
        <v>#REF!</v>
      </c>
      <c r="I28" s="110"/>
      <c r="J28" s="145"/>
      <c r="K28" s="113"/>
      <c r="L28" s="143">
        <f t="shared" si="10"/>
        <v>0</v>
      </c>
      <c r="M28" s="113"/>
      <c r="N28" s="143"/>
      <c r="O28" s="115">
        <f t="shared" si="11"/>
        <v>950</v>
      </c>
      <c r="P28" s="113">
        <f t="shared" si="12"/>
        <v>13300</v>
      </c>
      <c r="Q28" s="155">
        <v>12600</v>
      </c>
      <c r="R28" s="156">
        <f t="shared" si="13"/>
        <v>700</v>
      </c>
      <c r="S28" s="156" t="e">
        <f>+F28+#REF!+I28+K28+M28</f>
        <v>#REF!</v>
      </c>
      <c r="T28" s="155" t="e">
        <f>((F28+#REF!+M28)*14+(I28+K28)*12)</f>
        <v>#REF!</v>
      </c>
    </row>
    <row r="29" spans="1:20" ht="14.1" customHeight="1" x14ac:dyDescent="0.2">
      <c r="A29" s="185" t="s">
        <v>146</v>
      </c>
      <c r="B29" s="82">
        <v>6</v>
      </c>
      <c r="C29" s="82" t="s">
        <v>72</v>
      </c>
      <c r="D29" s="109">
        <v>2042</v>
      </c>
      <c r="E29" s="87" t="s">
        <v>65</v>
      </c>
      <c r="F29" s="122">
        <v>950</v>
      </c>
      <c r="G29" s="143">
        <f t="shared" si="9"/>
        <v>31.666666666666668</v>
      </c>
      <c r="H29" s="143" t="e">
        <f>+#REF!/30</f>
        <v>#REF!</v>
      </c>
      <c r="I29" s="110"/>
      <c r="J29" s="145"/>
      <c r="K29" s="113"/>
      <c r="L29" s="143">
        <f t="shared" si="10"/>
        <v>0</v>
      </c>
      <c r="M29" s="113"/>
      <c r="N29" s="143"/>
      <c r="O29" s="115">
        <f t="shared" si="11"/>
        <v>950</v>
      </c>
      <c r="P29" s="113">
        <f t="shared" si="12"/>
        <v>13300</v>
      </c>
      <c r="Q29" s="155">
        <v>12600</v>
      </c>
      <c r="R29" s="156">
        <f t="shared" si="13"/>
        <v>700</v>
      </c>
      <c r="S29" s="156" t="e">
        <f>+F29+#REF!+I29+K29+M29</f>
        <v>#REF!</v>
      </c>
      <c r="T29" s="155" t="e">
        <f>((F29+#REF!+M29)*14+(I29+K29)*12)</f>
        <v>#REF!</v>
      </c>
    </row>
    <row r="30" spans="1:20" ht="14.1" customHeight="1" x14ac:dyDescent="0.2">
      <c r="A30" s="185" t="s">
        <v>146</v>
      </c>
      <c r="B30" s="82">
        <v>6</v>
      </c>
      <c r="C30" s="82" t="s">
        <v>72</v>
      </c>
      <c r="D30" s="109">
        <v>2205</v>
      </c>
      <c r="E30" s="87" t="s">
        <v>33</v>
      </c>
      <c r="F30" s="122">
        <v>950</v>
      </c>
      <c r="G30" s="143">
        <f t="shared" si="9"/>
        <v>31.666666666666668</v>
      </c>
      <c r="H30" s="143" t="e">
        <f>+#REF!/30</f>
        <v>#REF!</v>
      </c>
      <c r="I30" s="110"/>
      <c r="J30" s="145"/>
      <c r="K30" s="113"/>
      <c r="L30" s="143">
        <f t="shared" si="10"/>
        <v>0</v>
      </c>
      <c r="M30" s="113"/>
      <c r="N30" s="143"/>
      <c r="O30" s="115">
        <f t="shared" si="11"/>
        <v>950</v>
      </c>
      <c r="P30" s="113">
        <f t="shared" si="12"/>
        <v>13300</v>
      </c>
      <c r="Q30" s="155">
        <v>12600</v>
      </c>
      <c r="R30" s="156">
        <f t="shared" si="13"/>
        <v>700</v>
      </c>
      <c r="S30" s="156" t="e">
        <f>+F30+#REF!+I30+K30+M30</f>
        <v>#REF!</v>
      </c>
      <c r="T30" s="155" t="e">
        <f>((F30+#REF!+M30)*14+(I30+K30)*12)</f>
        <v>#REF!</v>
      </c>
    </row>
    <row r="31" spans="1:20" ht="14.1" customHeight="1" x14ac:dyDescent="0.2">
      <c r="A31" s="185" t="s">
        <v>146</v>
      </c>
      <c r="B31" s="82">
        <v>6</v>
      </c>
      <c r="C31" s="82" t="s">
        <v>73</v>
      </c>
      <c r="D31" s="109">
        <v>2046</v>
      </c>
      <c r="E31" s="87" t="s">
        <v>37</v>
      </c>
      <c r="F31" s="110">
        <v>908.57</v>
      </c>
      <c r="G31" s="143">
        <f t="shared" si="9"/>
        <v>30.285666666666668</v>
      </c>
      <c r="H31" s="143" t="e">
        <f>+#REF!/30</f>
        <v>#REF!</v>
      </c>
      <c r="I31" s="110"/>
      <c r="J31" s="145"/>
      <c r="K31" s="113"/>
      <c r="L31" s="143">
        <f t="shared" si="10"/>
        <v>0</v>
      </c>
      <c r="M31" s="113">
        <v>92.08</v>
      </c>
      <c r="N31" s="143">
        <f>M31/30</f>
        <v>3.0693333333333332</v>
      </c>
      <c r="O31" s="115">
        <f t="shared" si="11"/>
        <v>1000.6500000000001</v>
      </c>
      <c r="P31" s="113">
        <f t="shared" si="12"/>
        <v>14009.100000000002</v>
      </c>
      <c r="Q31" s="155">
        <v>12600</v>
      </c>
      <c r="R31" s="156">
        <f t="shared" si="13"/>
        <v>1409.1000000000022</v>
      </c>
      <c r="S31" s="156" t="e">
        <f>+F31+#REF!+I31+K31+M31</f>
        <v>#REF!</v>
      </c>
      <c r="T31" s="155" t="e">
        <f>((F31+#REF!+M31)*14+(I31+K31)*12)</f>
        <v>#REF!</v>
      </c>
    </row>
    <row r="32" spans="1:20" s="138" customFormat="1" ht="14.1" customHeight="1" x14ac:dyDescent="0.2">
      <c r="A32" s="185" t="s">
        <v>146</v>
      </c>
      <c r="B32" s="82">
        <v>6</v>
      </c>
      <c r="C32" s="82" t="s">
        <v>72</v>
      </c>
      <c r="D32" s="109">
        <v>2044</v>
      </c>
      <c r="E32" s="87" t="s">
        <v>76</v>
      </c>
      <c r="F32" s="122">
        <v>950</v>
      </c>
      <c r="G32" s="143">
        <f t="shared" si="9"/>
        <v>31.666666666666668</v>
      </c>
      <c r="H32" s="143" t="e">
        <f>+#REF!/30</f>
        <v>#REF!</v>
      </c>
      <c r="I32" s="110"/>
      <c r="J32" s="145"/>
      <c r="K32" s="113"/>
      <c r="L32" s="143">
        <f t="shared" si="10"/>
        <v>0</v>
      </c>
      <c r="M32" s="113"/>
      <c r="N32" s="113"/>
      <c r="O32" s="115">
        <f t="shared" si="11"/>
        <v>950</v>
      </c>
      <c r="P32" s="113">
        <f t="shared" si="12"/>
        <v>13300</v>
      </c>
      <c r="Q32" s="155">
        <v>12600</v>
      </c>
      <c r="R32" s="156">
        <f t="shared" si="13"/>
        <v>700</v>
      </c>
      <c r="S32" s="156" t="e">
        <f>+F32+#REF!+I32+K32+M32</f>
        <v>#REF!</v>
      </c>
      <c r="T32" s="155" t="e">
        <f>((F32+#REF!+M32)*14+(I32+K32)*12)</f>
        <v>#REF!</v>
      </c>
    </row>
    <row r="33" spans="1:20" ht="14.1" customHeight="1" x14ac:dyDescent="0.2">
      <c r="A33" s="185" t="s">
        <v>146</v>
      </c>
      <c r="B33" s="82">
        <v>6</v>
      </c>
      <c r="C33" s="82" t="s">
        <v>72</v>
      </c>
      <c r="D33" s="109">
        <v>2500</v>
      </c>
      <c r="E33" s="87" t="s">
        <v>77</v>
      </c>
      <c r="F33" s="122">
        <v>950</v>
      </c>
      <c r="G33" s="143">
        <f t="shared" si="9"/>
        <v>31.666666666666668</v>
      </c>
      <c r="H33" s="143" t="e">
        <f>+#REF!/30</f>
        <v>#REF!</v>
      </c>
      <c r="I33" s="110"/>
      <c r="J33" s="145"/>
      <c r="K33" s="113"/>
      <c r="L33" s="143">
        <f t="shared" si="10"/>
        <v>0</v>
      </c>
      <c r="M33" s="110"/>
      <c r="N33" s="110"/>
      <c r="O33" s="115">
        <f t="shared" si="11"/>
        <v>950</v>
      </c>
      <c r="P33" s="113">
        <f t="shared" si="12"/>
        <v>13300</v>
      </c>
      <c r="Q33" s="155">
        <v>12600</v>
      </c>
      <c r="R33" s="156">
        <f t="shared" si="13"/>
        <v>700</v>
      </c>
      <c r="S33" s="156" t="e">
        <f>+F33+#REF!+I33+K33+M33</f>
        <v>#REF!</v>
      </c>
      <c r="T33" s="155" t="e">
        <f>((F33+#REF!+M33)*14+(I33+K33)*12)</f>
        <v>#REF!</v>
      </c>
    </row>
    <row r="34" spans="1:20" s="138" customFormat="1" ht="14.1" customHeight="1" x14ac:dyDescent="0.2">
      <c r="A34" s="185" t="s">
        <v>146</v>
      </c>
      <c r="B34" s="82">
        <v>6</v>
      </c>
      <c r="C34" s="82" t="s">
        <v>72</v>
      </c>
      <c r="D34" s="109">
        <v>2053</v>
      </c>
      <c r="E34" s="87" t="s">
        <v>88</v>
      </c>
      <c r="F34" s="110">
        <v>1000.77</v>
      </c>
      <c r="G34" s="143">
        <f t="shared" si="9"/>
        <v>33.359000000000002</v>
      </c>
      <c r="H34" s="143" t="e">
        <f>+#REF!/30</f>
        <v>#REF!</v>
      </c>
      <c r="I34" s="110"/>
      <c r="J34" s="143"/>
      <c r="K34" s="110"/>
      <c r="L34" s="143">
        <f t="shared" si="10"/>
        <v>0</v>
      </c>
      <c r="M34" s="110"/>
      <c r="N34" s="110"/>
      <c r="O34" s="115">
        <f t="shared" si="11"/>
        <v>1000.77</v>
      </c>
      <c r="P34" s="113">
        <f t="shared" si="12"/>
        <v>14010.779999999999</v>
      </c>
      <c r="Q34" s="155">
        <v>12600</v>
      </c>
      <c r="R34" s="156">
        <f t="shared" si="13"/>
        <v>1410.7799999999988</v>
      </c>
      <c r="S34" s="157"/>
      <c r="T34" s="157"/>
    </row>
    <row r="35" spans="1:20" s="138" customFormat="1" ht="14.1" customHeight="1" x14ac:dyDescent="0.2">
      <c r="A35" s="185" t="s">
        <v>146</v>
      </c>
      <c r="B35" s="82">
        <v>10</v>
      </c>
      <c r="C35" s="82" t="s">
        <v>72</v>
      </c>
      <c r="D35" s="109">
        <v>2051</v>
      </c>
      <c r="E35" s="87" t="s">
        <v>108</v>
      </c>
      <c r="F35" s="122">
        <v>950</v>
      </c>
      <c r="G35" s="143">
        <f t="shared" si="9"/>
        <v>31.666666666666668</v>
      </c>
      <c r="H35" s="143" t="e">
        <f>+#REF!/30</f>
        <v>#REF!</v>
      </c>
      <c r="I35" s="110"/>
      <c r="J35" s="145"/>
      <c r="K35" s="113"/>
      <c r="L35" s="143">
        <f t="shared" si="10"/>
        <v>0</v>
      </c>
      <c r="M35" s="113"/>
      <c r="N35" s="113"/>
      <c r="O35" s="115">
        <f t="shared" si="11"/>
        <v>950</v>
      </c>
      <c r="P35" s="113">
        <f t="shared" si="12"/>
        <v>13300</v>
      </c>
      <c r="Q35" s="155">
        <v>12600</v>
      </c>
      <c r="R35" s="156">
        <f t="shared" si="13"/>
        <v>700</v>
      </c>
      <c r="S35" s="157" t="e">
        <f>+F35+#REF!+I35+K35+M35</f>
        <v>#REF!</v>
      </c>
      <c r="T35" s="157" t="e">
        <f>((F35+#REF!+M35)*14+(I35+K35)*12)</f>
        <v>#REF!</v>
      </c>
    </row>
    <row r="36" spans="1:20" s="138" customFormat="1" ht="14.1" customHeight="1" x14ac:dyDescent="0.2">
      <c r="A36" s="185" t="s">
        <v>146</v>
      </c>
      <c r="B36" s="82">
        <v>6</v>
      </c>
      <c r="C36" s="82" t="s">
        <v>72</v>
      </c>
      <c r="D36" s="109">
        <v>2043</v>
      </c>
      <c r="E36" s="87" t="s">
        <v>36</v>
      </c>
      <c r="F36" s="122">
        <v>950</v>
      </c>
      <c r="G36" s="143">
        <f t="shared" si="9"/>
        <v>31.666666666666668</v>
      </c>
      <c r="H36" s="143" t="e">
        <f>+#REF!/30</f>
        <v>#REF!</v>
      </c>
      <c r="I36" s="110"/>
      <c r="J36" s="145"/>
      <c r="K36" s="113"/>
      <c r="L36" s="143">
        <f t="shared" si="10"/>
        <v>0</v>
      </c>
      <c r="M36" s="113"/>
      <c r="N36" s="113"/>
      <c r="O36" s="115">
        <f t="shared" si="11"/>
        <v>950</v>
      </c>
      <c r="P36" s="113">
        <f t="shared" si="12"/>
        <v>13300</v>
      </c>
      <c r="Q36" s="155">
        <v>12600</v>
      </c>
      <c r="R36" s="156">
        <f t="shared" si="13"/>
        <v>700</v>
      </c>
      <c r="S36" s="157" t="e">
        <f>+F36+#REF!+I36+K36+M36</f>
        <v>#REF!</v>
      </c>
      <c r="T36" s="157" t="e">
        <f>((F36+#REF!+M36)*14+(I36+K36)*12)</f>
        <v>#REF!</v>
      </c>
    </row>
    <row r="37" spans="1:20" s="138" customFormat="1" ht="14.1" customHeight="1" x14ac:dyDescent="0.2">
      <c r="A37" s="185" t="s">
        <v>146</v>
      </c>
      <c r="B37" s="82">
        <v>7</v>
      </c>
      <c r="C37" s="82" t="s">
        <v>72</v>
      </c>
      <c r="D37" s="109">
        <v>2209</v>
      </c>
      <c r="E37" s="87" t="s">
        <v>107</v>
      </c>
      <c r="F37" s="122">
        <v>950</v>
      </c>
      <c r="G37" s="143">
        <f t="shared" si="9"/>
        <v>31.666666666666668</v>
      </c>
      <c r="H37" s="143" t="e">
        <f>+#REF!/30</f>
        <v>#REF!</v>
      </c>
      <c r="I37" s="110"/>
      <c r="J37" s="145"/>
      <c r="K37" s="113"/>
      <c r="L37" s="143">
        <f t="shared" si="10"/>
        <v>0</v>
      </c>
      <c r="M37" s="113"/>
      <c r="N37" s="113"/>
      <c r="O37" s="115">
        <f t="shared" si="11"/>
        <v>950</v>
      </c>
      <c r="P37" s="113">
        <f t="shared" si="12"/>
        <v>13300</v>
      </c>
      <c r="Q37" s="155">
        <v>12600</v>
      </c>
      <c r="R37" s="156">
        <f t="shared" si="13"/>
        <v>700</v>
      </c>
      <c r="S37" s="157" t="e">
        <f>+F37+#REF!+I37+K37+M37</f>
        <v>#REF!</v>
      </c>
      <c r="T37" s="157" t="e">
        <f>((F37+#REF!+M37)*14+(I37+K37)*12)</f>
        <v>#REF!</v>
      </c>
    </row>
    <row r="38" spans="1:20" ht="14.1" customHeight="1" x14ac:dyDescent="0.2">
      <c r="A38" s="185" t="s">
        <v>146</v>
      </c>
      <c r="B38" s="82">
        <v>6</v>
      </c>
      <c r="C38" s="82" t="s">
        <v>73</v>
      </c>
      <c r="D38" s="109">
        <v>2057</v>
      </c>
      <c r="E38" s="87" t="s">
        <v>91</v>
      </c>
      <c r="F38" s="122">
        <v>843.65</v>
      </c>
      <c r="G38" s="143">
        <f t="shared" si="9"/>
        <v>28.121666666666666</v>
      </c>
      <c r="H38" s="143"/>
      <c r="I38" s="110">
        <v>89.76</v>
      </c>
      <c r="J38" s="145">
        <f t="shared" ref="J38" si="14">I38/30</f>
        <v>2.992</v>
      </c>
      <c r="K38" s="113">
        <v>34.32</v>
      </c>
      <c r="L38" s="143">
        <f t="shared" si="10"/>
        <v>1.1439999999999999</v>
      </c>
      <c r="M38" s="113"/>
      <c r="N38" s="143"/>
      <c r="O38" s="115">
        <f t="shared" si="11"/>
        <v>967.73</v>
      </c>
      <c r="P38" s="113">
        <f t="shared" si="12"/>
        <v>13300.060000000001</v>
      </c>
      <c r="Q38" s="155">
        <v>12600</v>
      </c>
      <c r="R38" s="156"/>
      <c r="S38" s="156"/>
      <c r="T38" s="155"/>
    </row>
    <row r="39" spans="1:20" ht="14.1" customHeight="1" x14ac:dyDescent="0.2">
      <c r="A39" s="185" t="s">
        <v>146</v>
      </c>
      <c r="B39" s="82">
        <v>3</v>
      </c>
      <c r="C39" s="82" t="s">
        <v>72</v>
      </c>
      <c r="D39" s="109">
        <v>2510</v>
      </c>
      <c r="E39" s="87" t="s">
        <v>93</v>
      </c>
      <c r="F39" s="110">
        <v>1139.33</v>
      </c>
      <c r="G39" s="143">
        <f t="shared" si="9"/>
        <v>37.977666666666664</v>
      </c>
      <c r="H39" s="143" t="e">
        <f>+#REF!/30</f>
        <v>#REF!</v>
      </c>
      <c r="I39" s="110"/>
      <c r="J39" s="145"/>
      <c r="K39" s="113"/>
      <c r="L39" s="143">
        <f t="shared" si="10"/>
        <v>0</v>
      </c>
      <c r="M39" s="110"/>
      <c r="N39" s="110"/>
      <c r="O39" s="115">
        <f t="shared" si="11"/>
        <v>1139.33</v>
      </c>
      <c r="P39" s="113">
        <f t="shared" si="12"/>
        <v>15950.619999999999</v>
      </c>
      <c r="Q39" s="155">
        <v>12600</v>
      </c>
      <c r="R39" s="156">
        <f t="shared" ref="R39:R42" si="15">+P39-Q39</f>
        <v>3350.619999999999</v>
      </c>
      <c r="S39" s="156" t="e">
        <f>+F39+#REF!+I39+K39+M39</f>
        <v>#REF!</v>
      </c>
      <c r="T39" s="155" t="e">
        <f>((F39+#REF!+M39)*14+(I39+K39)*12)</f>
        <v>#REF!</v>
      </c>
    </row>
    <row r="40" spans="1:20" s="138" customFormat="1" ht="14.1" customHeight="1" x14ac:dyDescent="0.2">
      <c r="A40" s="185" t="s">
        <v>146</v>
      </c>
      <c r="B40" s="82">
        <v>7</v>
      </c>
      <c r="C40" s="82" t="s">
        <v>72</v>
      </c>
      <c r="D40" s="109">
        <v>2214</v>
      </c>
      <c r="E40" s="87" t="s">
        <v>92</v>
      </c>
      <c r="F40" s="110">
        <v>1099.46</v>
      </c>
      <c r="G40" s="120"/>
      <c r="H40" s="120" t="e">
        <f>+#REF!/30</f>
        <v>#REF!</v>
      </c>
      <c r="I40" s="110"/>
      <c r="J40" s="144"/>
      <c r="K40" s="110"/>
      <c r="L40" s="144"/>
      <c r="M40" s="110"/>
      <c r="N40" s="110"/>
      <c r="O40" s="115">
        <f t="shared" si="11"/>
        <v>1099.46</v>
      </c>
      <c r="P40" s="113">
        <f t="shared" si="12"/>
        <v>15392.44</v>
      </c>
      <c r="Q40" s="155">
        <v>12600</v>
      </c>
      <c r="R40" s="156">
        <f t="shared" si="15"/>
        <v>2792.4400000000005</v>
      </c>
      <c r="S40" s="157"/>
      <c r="T40" s="157"/>
    </row>
    <row r="41" spans="1:20" ht="14.1" customHeight="1" x14ac:dyDescent="0.2">
      <c r="A41" s="185" t="s">
        <v>146</v>
      </c>
      <c r="B41" s="82">
        <v>7</v>
      </c>
      <c r="C41" s="82" t="s">
        <v>72</v>
      </c>
      <c r="D41" s="109">
        <v>2215</v>
      </c>
      <c r="E41" s="87" t="s">
        <v>95</v>
      </c>
      <c r="F41" s="110">
        <v>1039.6400000000001</v>
      </c>
      <c r="G41" s="120"/>
      <c r="H41" s="120"/>
      <c r="I41" s="110"/>
      <c r="J41" s="120"/>
      <c r="K41" s="110"/>
      <c r="L41" s="120">
        <f t="shared" ref="L41" si="16">K41/30</f>
        <v>0</v>
      </c>
      <c r="M41" s="110"/>
      <c r="N41" s="110"/>
      <c r="O41" s="121">
        <f t="shared" si="11"/>
        <v>1039.6400000000001</v>
      </c>
      <c r="P41" s="110">
        <f t="shared" si="12"/>
        <v>14554.960000000001</v>
      </c>
    </row>
    <row r="42" spans="1:20" s="138" customFormat="1" ht="14.1" customHeight="1" x14ac:dyDescent="0.2">
      <c r="A42" s="185" t="s">
        <v>146</v>
      </c>
      <c r="B42" s="82">
        <v>10</v>
      </c>
      <c r="C42" s="82" t="s">
        <v>90</v>
      </c>
      <c r="D42" s="109">
        <v>19906</v>
      </c>
      <c r="E42" s="87" t="s">
        <v>89</v>
      </c>
      <c r="F42" s="110">
        <v>792.68</v>
      </c>
      <c r="G42" s="120"/>
      <c r="H42" s="120" t="e">
        <f>+#REF!/30</f>
        <v>#REF!</v>
      </c>
      <c r="I42" s="110">
        <v>57.81</v>
      </c>
      <c r="J42" s="144"/>
      <c r="K42" s="110">
        <v>15.92</v>
      </c>
      <c r="L42" s="144"/>
      <c r="M42" s="110">
        <v>279.87</v>
      </c>
      <c r="N42" s="110"/>
      <c r="O42" s="115">
        <f t="shared" si="11"/>
        <v>1146.28</v>
      </c>
      <c r="P42" s="113">
        <f>+O42*12</f>
        <v>13755.36</v>
      </c>
      <c r="Q42" s="155">
        <v>12600</v>
      </c>
      <c r="R42" s="156">
        <f t="shared" si="15"/>
        <v>1155.3600000000006</v>
      </c>
      <c r="S42" s="157"/>
      <c r="T42" s="157"/>
    </row>
    <row r="43" spans="1:20" x14ac:dyDescent="0.2">
      <c r="B43" s="139"/>
      <c r="C43" s="139"/>
      <c r="E43" s="181" t="s">
        <v>143</v>
      </c>
    </row>
    <row r="44" spans="1:20" ht="18" customHeight="1" x14ac:dyDescent="0.2">
      <c r="B44" s="129" t="s">
        <v>78</v>
      </c>
      <c r="C44" s="89"/>
      <c r="D44" s="125"/>
      <c r="E44" s="126"/>
      <c r="F44" s="128"/>
      <c r="G44" s="128"/>
      <c r="H44" s="128"/>
      <c r="I44" s="186" t="s">
        <v>103</v>
      </c>
      <c r="J44" s="186"/>
      <c r="K44" s="186"/>
      <c r="L44" s="186"/>
      <c r="M44" s="186"/>
      <c r="N44" s="186"/>
      <c r="O44" s="186"/>
    </row>
    <row r="45" spans="1:20" ht="12.95" customHeight="1" x14ac:dyDescent="0.2">
      <c r="B45" s="98" t="s">
        <v>79</v>
      </c>
      <c r="C45" s="99"/>
      <c r="D45" s="99"/>
      <c r="E45" s="99"/>
      <c r="F45" s="104" t="s">
        <v>80</v>
      </c>
      <c r="G45" s="88"/>
      <c r="H45" s="147"/>
      <c r="I45" s="189" t="s">
        <v>97</v>
      </c>
      <c r="J45" s="190"/>
      <c r="K45" s="190"/>
      <c r="L45" s="190"/>
      <c r="M45" s="190"/>
      <c r="N45" s="190"/>
      <c r="O45" s="190"/>
      <c r="P45" s="95">
        <v>0.7</v>
      </c>
    </row>
    <row r="46" spans="1:20" ht="12.95" customHeight="1" x14ac:dyDescent="0.2">
      <c r="B46" s="100" t="s">
        <v>81</v>
      </c>
      <c r="C46" s="101"/>
      <c r="D46" s="101"/>
      <c r="E46" s="101"/>
      <c r="F46" s="105" t="s">
        <v>82</v>
      </c>
      <c r="G46" s="88"/>
      <c r="H46" s="90"/>
      <c r="I46" s="187" t="s">
        <v>98</v>
      </c>
      <c r="J46" s="188"/>
      <c r="K46" s="188"/>
      <c r="L46" s="188"/>
      <c r="M46" s="188"/>
      <c r="N46" s="188"/>
      <c r="O46" s="188"/>
      <c r="P46" s="96">
        <v>0.2</v>
      </c>
    </row>
    <row r="47" spans="1:20" ht="12.95" customHeight="1" x14ac:dyDescent="0.2">
      <c r="B47" s="100" t="s">
        <v>83</v>
      </c>
      <c r="C47" s="101"/>
      <c r="D47" s="101"/>
      <c r="E47" s="101"/>
      <c r="F47" s="105" t="s">
        <v>84</v>
      </c>
      <c r="G47" s="88"/>
      <c r="H47" s="90"/>
      <c r="I47" s="187" t="s">
        <v>99</v>
      </c>
      <c r="J47" s="188"/>
      <c r="K47" s="188"/>
      <c r="L47" s="188"/>
      <c r="M47" s="188"/>
      <c r="N47" s="188"/>
      <c r="O47" s="188"/>
      <c r="P47" s="96">
        <v>0.23</v>
      </c>
    </row>
    <row r="48" spans="1:20" ht="12.95" customHeight="1" x14ac:dyDescent="0.2">
      <c r="B48" s="100" t="s">
        <v>85</v>
      </c>
      <c r="C48" s="101"/>
      <c r="D48" s="101"/>
      <c r="E48" s="101"/>
      <c r="F48" s="105" t="s">
        <v>86</v>
      </c>
      <c r="G48" s="88"/>
      <c r="H48" s="90"/>
      <c r="I48" s="187" t="s">
        <v>100</v>
      </c>
      <c r="J48" s="188"/>
      <c r="K48" s="188"/>
      <c r="L48" s="188"/>
      <c r="M48" s="188"/>
      <c r="N48" s="188"/>
      <c r="O48" s="188"/>
      <c r="P48" s="96">
        <v>118.96</v>
      </c>
    </row>
    <row r="49" spans="2:16" ht="12.95" customHeight="1" x14ac:dyDescent="0.2">
      <c r="B49" s="102" t="s">
        <v>104</v>
      </c>
      <c r="C49" s="103"/>
      <c r="D49" s="103"/>
      <c r="E49" s="103"/>
      <c r="F49" s="106" t="s">
        <v>87</v>
      </c>
      <c r="G49" s="88"/>
      <c r="H49" s="90"/>
      <c r="I49" s="187" t="s">
        <v>105</v>
      </c>
      <c r="J49" s="188"/>
      <c r="K49" s="188"/>
      <c r="L49" s="188"/>
      <c r="M49" s="188"/>
      <c r="N49" s="188"/>
      <c r="O49" s="188"/>
      <c r="P49" s="96">
        <v>116.39</v>
      </c>
    </row>
    <row r="50" spans="2:16" ht="12.95" customHeight="1" x14ac:dyDescent="0.2">
      <c r="B50" s="91"/>
      <c r="C50" s="91"/>
      <c r="D50" s="91"/>
      <c r="E50" s="90"/>
      <c r="F50" s="90"/>
      <c r="G50" s="88"/>
      <c r="H50" s="90"/>
      <c r="I50" s="187" t="s">
        <v>101</v>
      </c>
      <c r="J50" s="188"/>
      <c r="K50" s="188"/>
      <c r="L50" s="188"/>
      <c r="M50" s="188"/>
      <c r="N50" s="188"/>
      <c r="O50" s="188"/>
      <c r="P50" s="96">
        <v>102.21</v>
      </c>
    </row>
    <row r="51" spans="2:16" ht="12.95" customHeight="1" x14ac:dyDescent="0.2">
      <c r="B51" s="140"/>
      <c r="C51" s="140"/>
      <c r="D51" s="141"/>
      <c r="E51" s="90"/>
      <c r="F51" s="90"/>
      <c r="I51" s="191" t="s">
        <v>102</v>
      </c>
      <c r="J51" s="192"/>
      <c r="K51" s="192"/>
      <c r="L51" s="192"/>
      <c r="M51" s="192"/>
      <c r="N51" s="192"/>
      <c r="O51" s="192"/>
      <c r="P51" s="134">
        <v>47.9</v>
      </c>
    </row>
  </sheetData>
  <sheetProtection algorithmName="SHA-512" hashValue="qEHq2+aGFYWv75i6hKX14maOMexkvCVph2qF8BrVWQtuN66undUn2xvSq8t8uxFne7i9S4llL9TIavRfWz76NA==" saltValue="Q8EzH3CGRub9fmEU6BBgWQ==" spinCount="100000" sheet="1" selectLockedCells="1" selectUnlockedCells="1"/>
  <autoFilter ref="B3:P51" xr:uid="{00000000-0009-0000-0000-000009000000}"/>
  <mergeCells count="10">
    <mergeCell ref="I51:O51"/>
    <mergeCell ref="I47:O47"/>
    <mergeCell ref="I46:O46"/>
    <mergeCell ref="F2:P2"/>
    <mergeCell ref="S3:T3"/>
    <mergeCell ref="I45:O45"/>
    <mergeCell ref="I44:O44"/>
    <mergeCell ref="I48:O48"/>
    <mergeCell ref="I49:O49"/>
    <mergeCell ref="I50:O50"/>
  </mergeCells>
  <printOptions horizontalCentered="1"/>
  <pageMargins left="0.15748031496062992" right="0.15748031496062992" top="0.39370078740157483" bottom="0" header="0.15748031496062992" footer="0.15748031496062992"/>
  <pageSetup paperSize="9" scale="77" orientation="landscape" cellComments="asDisplayed" r:id="rId1"/>
  <headerFooter alignWithMargins="0">
    <oddHeader>&amp;C&amp;"Calibri,Negrita"&amp;12&amp;ETABLA SALARIAL CONVENIO SERVICIOS SECURITAS, S.A. 2020</oddHeader>
  </headerFooter>
  <rowBreaks count="1" manualBreakCount="1">
    <brk id="42" max="16383" man="1"/>
  </rowBreaks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65FD8-9C47-4288-B092-5FFDAC826360}">
  <sheetPr>
    <pageSetUpPr fitToPage="1"/>
  </sheetPr>
  <dimension ref="A1:AE29"/>
  <sheetViews>
    <sheetView zoomScale="110" zoomScaleNormal="110" workbookViewId="0">
      <pane ySplit="2" topLeftCell="A3" activePane="bottomLeft" state="frozen"/>
      <selection pane="bottomLeft" activeCell="S3" sqref="S3:S4"/>
    </sheetView>
  </sheetViews>
  <sheetFormatPr baseColWidth="10" defaultColWidth="10.140625" defaultRowHeight="12.75" x14ac:dyDescent="0.2"/>
  <cols>
    <col min="1" max="1" width="42.28515625" style="73" bestFit="1" customWidth="1"/>
    <col min="2" max="2" width="8" style="73" customWidth="1"/>
    <col min="3" max="3" width="10.7109375" style="73" hidden="1" customWidth="1"/>
    <col min="4" max="4" width="8.5703125" style="142" customWidth="1"/>
    <col min="5" max="5" width="9.7109375" style="73" hidden="1" customWidth="1"/>
    <col min="6" max="6" width="7.140625" style="73" customWidth="1"/>
    <col min="7" max="7" width="9.85546875" style="73" hidden="1" customWidth="1"/>
    <col min="8" max="8" width="6.42578125" style="73" customWidth="1"/>
    <col min="9" max="9" width="10.7109375" style="73" hidden="1" customWidth="1"/>
    <col min="10" max="10" width="7.28515625" style="73" customWidth="1"/>
    <col min="11" max="11" width="10.7109375" style="73" hidden="1" customWidth="1"/>
    <col min="12" max="12" width="7.7109375" style="73" customWidth="1"/>
    <col min="13" max="13" width="8.5703125" style="73" customWidth="1"/>
    <col min="14" max="14" width="7.5703125" style="73" hidden="1" customWidth="1"/>
    <col min="15" max="15" width="11.5703125" style="73" hidden="1" customWidth="1"/>
    <col min="16" max="16" width="8.85546875" style="73" hidden="1" customWidth="1"/>
    <col min="17" max="17" width="6.85546875" style="73" hidden="1" customWidth="1"/>
    <col min="18" max="18" width="1.42578125" style="73" customWidth="1"/>
    <col min="19" max="19" width="10.42578125" style="73" bestFit="1" customWidth="1"/>
    <col min="20" max="20" width="10.7109375" style="73" hidden="1" customWidth="1"/>
    <col min="21" max="21" width="9.7109375" style="73" hidden="1" customWidth="1"/>
    <col min="22" max="22" width="7.140625" style="73" customWidth="1"/>
    <col min="23" max="23" width="9.85546875" style="73" hidden="1" customWidth="1"/>
    <col min="24" max="24" width="6.42578125" style="73" customWidth="1"/>
    <col min="25" max="25" width="10.7109375" style="73" hidden="1" customWidth="1"/>
    <col min="26" max="26" width="7.28515625" style="73" customWidth="1"/>
    <col min="27" max="27" width="10.7109375" style="73" hidden="1" customWidth="1"/>
    <col min="28" max="28" width="7.7109375" style="73" customWidth="1"/>
    <col min="29" max="29" width="8.5703125" style="73" customWidth="1"/>
    <col min="30" max="16384" width="10.140625" style="73"/>
  </cols>
  <sheetData>
    <row r="1" spans="1:31" ht="41.25" customHeight="1" x14ac:dyDescent="0.2">
      <c r="B1" s="200" t="s">
        <v>115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S1" s="200" t="s">
        <v>116</v>
      </c>
      <c r="T1" s="200"/>
      <c r="U1" s="200"/>
      <c r="V1" s="200"/>
      <c r="W1" s="200"/>
      <c r="X1" s="200"/>
      <c r="Y1" s="200"/>
      <c r="Z1" s="200"/>
      <c r="AA1" s="200"/>
      <c r="AB1" s="200"/>
      <c r="AC1" s="200"/>
    </row>
    <row r="2" spans="1:31" s="137" customFormat="1" ht="39.75" customHeight="1" x14ac:dyDescent="0.2">
      <c r="A2" s="131" t="s">
        <v>1</v>
      </c>
      <c r="B2" s="132" t="s">
        <v>2</v>
      </c>
      <c r="C2" s="74">
        <v>110021</v>
      </c>
      <c r="D2" s="132" t="s">
        <v>110</v>
      </c>
      <c r="E2" s="74">
        <v>122520</v>
      </c>
      <c r="F2" s="132" t="s">
        <v>3</v>
      </c>
      <c r="G2" s="75">
        <v>15220</v>
      </c>
      <c r="H2" s="132" t="s">
        <v>4</v>
      </c>
      <c r="I2" s="75">
        <v>116220</v>
      </c>
      <c r="J2" s="132" t="s">
        <v>5</v>
      </c>
      <c r="K2" s="74">
        <v>117520</v>
      </c>
      <c r="L2" s="131" t="s">
        <v>62</v>
      </c>
      <c r="M2" s="132" t="s">
        <v>63</v>
      </c>
      <c r="N2" s="159" t="s">
        <v>111</v>
      </c>
      <c r="O2" s="154" t="s">
        <v>112</v>
      </c>
      <c r="P2" s="193" t="s">
        <v>113</v>
      </c>
      <c r="Q2" s="193"/>
      <c r="S2" s="132" t="s">
        <v>2</v>
      </c>
      <c r="T2" s="74">
        <v>110021</v>
      </c>
      <c r="U2" s="74">
        <v>122520</v>
      </c>
      <c r="V2" s="132" t="s">
        <v>3</v>
      </c>
      <c r="W2" s="75">
        <v>15220</v>
      </c>
      <c r="X2" s="132" t="s">
        <v>4</v>
      </c>
      <c r="Y2" s="75">
        <v>116220</v>
      </c>
      <c r="Z2" s="132" t="s">
        <v>5</v>
      </c>
      <c r="AA2" s="74">
        <v>117520</v>
      </c>
      <c r="AB2" s="131" t="s">
        <v>62</v>
      </c>
      <c r="AC2" s="132" t="s">
        <v>63</v>
      </c>
    </row>
    <row r="3" spans="1:31" ht="17.100000000000001" customHeight="1" x14ac:dyDescent="0.2">
      <c r="A3" s="87" t="s">
        <v>25</v>
      </c>
      <c r="B3" s="110">
        <v>750</v>
      </c>
      <c r="C3" s="143">
        <f t="shared" ref="C3:C4" si="0">B3/30</f>
        <v>25</v>
      </c>
      <c r="D3" s="158">
        <v>118.74000000000004</v>
      </c>
      <c r="E3" s="143">
        <f t="shared" ref="E3:E4" si="1">+D3/30</f>
        <v>3.9580000000000011</v>
      </c>
      <c r="F3" s="110">
        <v>36.47</v>
      </c>
      <c r="G3" s="145">
        <f t="shared" ref="G3:G4" si="2">F3/30</f>
        <v>1.2156666666666667</v>
      </c>
      <c r="H3" s="113"/>
      <c r="I3" s="114"/>
      <c r="J3" s="113"/>
      <c r="K3" s="113"/>
      <c r="L3" s="115">
        <f t="shared" ref="L3:L4" si="3">+J3+H3+F3+B3+D3</f>
        <v>905.21</v>
      </c>
      <c r="M3" s="113">
        <f t="shared" ref="M3:M4" si="4">((B3+J3+D3)*14)+((F3+H3)*12)</f>
        <v>12600</v>
      </c>
      <c r="N3" s="155">
        <v>12600</v>
      </c>
      <c r="O3" s="156">
        <f t="shared" ref="O3:O4" si="5">+M3-N3</f>
        <v>0</v>
      </c>
      <c r="P3" s="156">
        <f>+B3+D3+F3+H3+J3</f>
        <v>905.21</v>
      </c>
      <c r="Q3" s="155">
        <f>((B3+D3+J3)*14+(F3+H3)*12)</f>
        <v>12600</v>
      </c>
      <c r="S3" s="110">
        <v>868.74</v>
      </c>
      <c r="T3" s="143">
        <f t="shared" ref="T3:T13" si="6">S3/30</f>
        <v>28.958000000000002</v>
      </c>
      <c r="U3" s="143" t="e">
        <f>+#REF!/30</f>
        <v>#REF!</v>
      </c>
      <c r="V3" s="110">
        <v>36.47</v>
      </c>
      <c r="W3" s="145">
        <f t="shared" ref="W3:W13" si="7">V3/30</f>
        <v>1.2156666666666667</v>
      </c>
      <c r="X3" s="113"/>
      <c r="Y3" s="114"/>
      <c r="Z3" s="113"/>
      <c r="AA3" s="113"/>
      <c r="AB3" s="115">
        <f t="shared" ref="AB3:AB5" si="8">+S3+V3+X3</f>
        <v>905.21</v>
      </c>
      <c r="AC3" s="113">
        <f t="shared" ref="AC3:AC5" si="9">(S3*14)+((V3+X3)*12)</f>
        <v>12600</v>
      </c>
      <c r="AD3" s="142">
        <f>+AC3-12600</f>
        <v>0</v>
      </c>
      <c r="AE3" s="73">
        <f>+AD3/14</f>
        <v>0</v>
      </c>
    </row>
    <row r="4" spans="1:31" ht="17.100000000000001" customHeight="1" x14ac:dyDescent="0.2">
      <c r="A4" s="87" t="s">
        <v>60</v>
      </c>
      <c r="B4" s="110">
        <v>750</v>
      </c>
      <c r="C4" s="143">
        <f t="shared" si="0"/>
        <v>25</v>
      </c>
      <c r="D4" s="158">
        <v>118.74000000000004</v>
      </c>
      <c r="E4" s="143">
        <f t="shared" si="1"/>
        <v>3.9580000000000011</v>
      </c>
      <c r="F4" s="110">
        <v>36.47</v>
      </c>
      <c r="G4" s="145">
        <f t="shared" si="2"/>
        <v>1.2156666666666667</v>
      </c>
      <c r="H4" s="113"/>
      <c r="I4" s="114"/>
      <c r="J4" s="113"/>
      <c r="K4" s="113"/>
      <c r="L4" s="115">
        <f t="shared" si="3"/>
        <v>905.21</v>
      </c>
      <c r="M4" s="113">
        <f t="shared" si="4"/>
        <v>12600</v>
      </c>
      <c r="N4" s="155">
        <v>12600</v>
      </c>
      <c r="O4" s="156">
        <f t="shared" si="5"/>
        <v>0</v>
      </c>
      <c r="P4" s="156">
        <f>+B4+D4+F4+H4+J4</f>
        <v>905.21</v>
      </c>
      <c r="Q4" s="155">
        <f>((B4+D4+J4)*14+(F4+H4)*12)</f>
        <v>12600</v>
      </c>
      <c r="S4" s="110">
        <v>868.74</v>
      </c>
      <c r="T4" s="143">
        <f t="shared" si="6"/>
        <v>28.958000000000002</v>
      </c>
      <c r="U4" s="143" t="e">
        <f>+#REF!/30</f>
        <v>#REF!</v>
      </c>
      <c r="V4" s="110">
        <v>36.47</v>
      </c>
      <c r="W4" s="145">
        <f t="shared" si="7"/>
        <v>1.2156666666666667</v>
      </c>
      <c r="X4" s="113"/>
      <c r="Y4" s="114"/>
      <c r="Z4" s="113"/>
      <c r="AA4" s="113"/>
      <c r="AB4" s="115">
        <f t="shared" si="8"/>
        <v>905.21</v>
      </c>
      <c r="AC4" s="113">
        <f t="shared" si="9"/>
        <v>12600</v>
      </c>
      <c r="AD4" s="142">
        <f>-AE3+S3</f>
        <v>868.74</v>
      </c>
    </row>
    <row r="5" spans="1:31" ht="17.100000000000001" hidden="1" customHeight="1" x14ac:dyDescent="0.2">
      <c r="A5" s="87" t="s">
        <v>91</v>
      </c>
      <c r="B5" s="110">
        <v>707.7</v>
      </c>
      <c r="C5" s="120">
        <f t="shared" ref="C5:C13" si="10">B5/30</f>
        <v>23.59</v>
      </c>
      <c r="D5" s="110"/>
      <c r="E5" s="120"/>
      <c r="F5" s="110">
        <v>89.76</v>
      </c>
      <c r="G5" s="144">
        <f t="shared" ref="G5:G13" si="11">F5/30</f>
        <v>2.992</v>
      </c>
      <c r="H5" s="110">
        <v>34.32</v>
      </c>
      <c r="I5" s="120">
        <f t="shared" ref="I5:I13" si="12">H5/30</f>
        <v>1.1439999999999999</v>
      </c>
      <c r="J5" s="110"/>
      <c r="K5" s="110"/>
      <c r="L5" s="121">
        <f t="shared" ref="L5:L20" si="13">+J5+H5+F5+B5</f>
        <v>831.78000000000009</v>
      </c>
      <c r="M5" s="110">
        <f t="shared" ref="M5:M20" si="14">((B5+J5)*14)+((F5+H5)*12)</f>
        <v>11396.760000000002</v>
      </c>
      <c r="N5" s="73">
        <v>12600</v>
      </c>
      <c r="S5" s="110">
        <v>857.14285700000005</v>
      </c>
      <c r="T5" s="120">
        <f t="shared" si="6"/>
        <v>28.571428566666668</v>
      </c>
      <c r="U5" s="120"/>
      <c r="V5" s="110">
        <v>89.76</v>
      </c>
      <c r="W5" s="144">
        <f t="shared" si="7"/>
        <v>2.992</v>
      </c>
      <c r="X5" s="110">
        <v>34.32</v>
      </c>
      <c r="Y5" s="120">
        <f t="shared" ref="Y5:Y13" si="15">X5/30</f>
        <v>1.1439999999999999</v>
      </c>
      <c r="Z5" s="110"/>
      <c r="AA5" s="110"/>
      <c r="AB5" s="115">
        <f t="shared" si="8"/>
        <v>981.22285700000009</v>
      </c>
      <c r="AC5" s="113">
        <f t="shared" si="9"/>
        <v>13488.959998000002</v>
      </c>
    </row>
    <row r="6" spans="1:31" ht="17.100000000000001" customHeight="1" x14ac:dyDescent="0.2">
      <c r="A6" s="87" t="s">
        <v>66</v>
      </c>
      <c r="B6" s="110">
        <v>750</v>
      </c>
      <c r="C6" s="143">
        <f t="shared" si="10"/>
        <v>25</v>
      </c>
      <c r="D6" s="158">
        <v>105.30000000000005</v>
      </c>
      <c r="E6" s="143">
        <f t="shared" ref="E6:E19" si="16">+D6/30</f>
        <v>3.510000000000002</v>
      </c>
      <c r="F6" s="161">
        <v>31.65</v>
      </c>
      <c r="G6" s="145">
        <f t="shared" si="11"/>
        <v>1.0549999999999999</v>
      </c>
      <c r="H6" s="161">
        <v>20.5</v>
      </c>
      <c r="I6" s="143">
        <f t="shared" si="12"/>
        <v>0.68333333333333335</v>
      </c>
      <c r="J6" s="113"/>
      <c r="K6" s="113"/>
      <c r="L6" s="115">
        <f t="shared" ref="L6:L19" si="17">+J6+H6+F6+B6+D6</f>
        <v>907.45</v>
      </c>
      <c r="M6" s="113">
        <f t="shared" ref="M6:M19" si="18">((B6+J6+D6)*14)+((F6+H6)*12)</f>
        <v>12600</v>
      </c>
      <c r="N6" s="155">
        <v>12600</v>
      </c>
      <c r="O6" s="156">
        <f t="shared" ref="O6:O19" si="19">+M6-N6</f>
        <v>0</v>
      </c>
      <c r="P6" s="156">
        <f t="shared" ref="P6:P13" si="20">+B6+D6+F6+H6+J6</f>
        <v>907.45</v>
      </c>
      <c r="Q6" s="155">
        <f t="shared" ref="Q6:Q13" si="21">((B6+D6+J6)*14+(F6+H6)*12)</f>
        <v>12600</v>
      </c>
      <c r="S6" s="110">
        <v>857.14285700000005</v>
      </c>
      <c r="T6" s="143">
        <f t="shared" si="6"/>
        <v>28.571428566666668</v>
      </c>
      <c r="U6" s="143" t="e">
        <f>+#REF!/30</f>
        <v>#REF!</v>
      </c>
      <c r="V6" s="161">
        <v>30</v>
      </c>
      <c r="W6" s="145">
        <f t="shared" si="7"/>
        <v>1</v>
      </c>
      <c r="X6" s="161">
        <v>20</v>
      </c>
      <c r="Y6" s="143">
        <f t="shared" si="15"/>
        <v>0.66666666666666663</v>
      </c>
      <c r="Z6" s="113"/>
      <c r="AA6" s="113"/>
      <c r="AB6" s="115">
        <f>+S6+V6+X6</f>
        <v>907.14285700000005</v>
      </c>
      <c r="AC6" s="113">
        <f>(S6*14)+((V6+X6)*12)</f>
        <v>12599.999998000001</v>
      </c>
    </row>
    <row r="7" spans="1:31" ht="17.100000000000001" customHeight="1" x14ac:dyDescent="0.2">
      <c r="A7" s="87" t="s">
        <v>65</v>
      </c>
      <c r="B7" s="110">
        <v>750</v>
      </c>
      <c r="C7" s="143">
        <f t="shared" si="10"/>
        <v>25</v>
      </c>
      <c r="D7" s="158">
        <v>105.30000000000005</v>
      </c>
      <c r="E7" s="143">
        <f t="shared" si="16"/>
        <v>3.510000000000002</v>
      </c>
      <c r="F7" s="161">
        <v>31.65</v>
      </c>
      <c r="G7" s="145">
        <f t="shared" si="11"/>
        <v>1.0549999999999999</v>
      </c>
      <c r="H7" s="161">
        <v>20.5</v>
      </c>
      <c r="I7" s="143">
        <f t="shared" si="12"/>
        <v>0.68333333333333335</v>
      </c>
      <c r="J7" s="113"/>
      <c r="K7" s="113"/>
      <c r="L7" s="115">
        <f t="shared" si="17"/>
        <v>907.45</v>
      </c>
      <c r="M7" s="113">
        <f t="shared" si="18"/>
        <v>12600</v>
      </c>
      <c r="N7" s="155">
        <v>12600</v>
      </c>
      <c r="O7" s="156">
        <f t="shared" si="19"/>
        <v>0</v>
      </c>
      <c r="P7" s="156">
        <f t="shared" si="20"/>
        <v>907.45</v>
      </c>
      <c r="Q7" s="155">
        <f t="shared" si="21"/>
        <v>12600</v>
      </c>
      <c r="S7" s="110">
        <v>857.14285700000005</v>
      </c>
      <c r="T7" s="143">
        <f t="shared" si="6"/>
        <v>28.571428566666668</v>
      </c>
      <c r="U7" s="143" t="e">
        <f>+#REF!/30</f>
        <v>#REF!</v>
      </c>
      <c r="V7" s="161">
        <v>30</v>
      </c>
      <c r="W7" s="145">
        <f t="shared" si="7"/>
        <v>1</v>
      </c>
      <c r="X7" s="161">
        <v>20</v>
      </c>
      <c r="Y7" s="143">
        <f t="shared" si="15"/>
        <v>0.66666666666666663</v>
      </c>
      <c r="Z7" s="113"/>
      <c r="AA7" s="113"/>
      <c r="AB7" s="115">
        <f t="shared" ref="AB7:AB19" si="22">+S7+V7+X7</f>
        <v>907.14285700000005</v>
      </c>
      <c r="AC7" s="113">
        <f t="shared" ref="AC7:AC19" si="23">(S7*14)+((V7+X7)*12)</f>
        <v>12599.999998000001</v>
      </c>
    </row>
    <row r="8" spans="1:31" ht="17.100000000000001" customHeight="1" x14ac:dyDescent="0.2">
      <c r="A8" s="87" t="s">
        <v>33</v>
      </c>
      <c r="B8" s="110">
        <v>750</v>
      </c>
      <c r="C8" s="143">
        <f t="shared" si="10"/>
        <v>25</v>
      </c>
      <c r="D8" s="158">
        <v>105.30000000000005</v>
      </c>
      <c r="E8" s="143">
        <f t="shared" si="16"/>
        <v>3.510000000000002</v>
      </c>
      <c r="F8" s="161">
        <v>31.65</v>
      </c>
      <c r="G8" s="145">
        <f t="shared" si="11"/>
        <v>1.0549999999999999</v>
      </c>
      <c r="H8" s="161">
        <v>20.5</v>
      </c>
      <c r="I8" s="143">
        <f t="shared" si="12"/>
        <v>0.68333333333333335</v>
      </c>
      <c r="J8" s="113"/>
      <c r="K8" s="113"/>
      <c r="L8" s="115">
        <f t="shared" si="17"/>
        <v>907.45</v>
      </c>
      <c r="M8" s="113">
        <f t="shared" si="18"/>
        <v>12600</v>
      </c>
      <c r="N8" s="155">
        <v>12600</v>
      </c>
      <c r="O8" s="156">
        <f t="shared" si="19"/>
        <v>0</v>
      </c>
      <c r="P8" s="156">
        <f t="shared" si="20"/>
        <v>907.45</v>
      </c>
      <c r="Q8" s="155">
        <f t="shared" si="21"/>
        <v>12600</v>
      </c>
      <c r="S8" s="110">
        <v>857.14285700000005</v>
      </c>
      <c r="T8" s="143">
        <f t="shared" si="6"/>
        <v>28.571428566666668</v>
      </c>
      <c r="U8" s="143" t="e">
        <f>+#REF!/30</f>
        <v>#REF!</v>
      </c>
      <c r="V8" s="161">
        <v>30</v>
      </c>
      <c r="W8" s="145">
        <f t="shared" si="7"/>
        <v>1</v>
      </c>
      <c r="X8" s="161">
        <v>20</v>
      </c>
      <c r="Y8" s="143">
        <f t="shared" si="15"/>
        <v>0.66666666666666663</v>
      </c>
      <c r="Z8" s="113"/>
      <c r="AA8" s="113"/>
      <c r="AB8" s="115">
        <f t="shared" si="22"/>
        <v>907.14285700000005</v>
      </c>
      <c r="AC8" s="113">
        <f t="shared" si="23"/>
        <v>12599.999998000001</v>
      </c>
    </row>
    <row r="9" spans="1:31" ht="17.100000000000001" customHeight="1" x14ac:dyDescent="0.2">
      <c r="A9" s="87" t="s">
        <v>37</v>
      </c>
      <c r="B9" s="110">
        <v>750</v>
      </c>
      <c r="C9" s="143">
        <f t="shared" si="10"/>
        <v>25</v>
      </c>
      <c r="D9" s="158">
        <v>16.422857142857147</v>
      </c>
      <c r="E9" s="143">
        <f t="shared" si="16"/>
        <v>0.5474285714285716</v>
      </c>
      <c r="F9" s="110">
        <v>42</v>
      </c>
      <c r="G9" s="145">
        <f t="shared" si="11"/>
        <v>1.4</v>
      </c>
      <c r="H9" s="113">
        <v>22</v>
      </c>
      <c r="I9" s="143">
        <f t="shared" si="12"/>
        <v>0.73333333333333328</v>
      </c>
      <c r="J9" s="113">
        <v>78.72</v>
      </c>
      <c r="K9" s="143">
        <f>J9/30</f>
        <v>2.6240000000000001</v>
      </c>
      <c r="L9" s="115">
        <f t="shared" si="17"/>
        <v>909.14285714285722</v>
      </c>
      <c r="M9" s="113">
        <f t="shared" si="18"/>
        <v>12600.000000000002</v>
      </c>
      <c r="N9" s="155">
        <v>12600</v>
      </c>
      <c r="O9" s="156">
        <f t="shared" si="19"/>
        <v>0</v>
      </c>
      <c r="P9" s="156">
        <f t="shared" si="20"/>
        <v>909.14285714285722</v>
      </c>
      <c r="Q9" s="155">
        <f t="shared" si="21"/>
        <v>12600.000000000002</v>
      </c>
      <c r="S9" s="110">
        <v>857.14285700000005</v>
      </c>
      <c r="T9" s="143">
        <f t="shared" si="6"/>
        <v>28.571428566666668</v>
      </c>
      <c r="U9" s="143" t="e">
        <f>+#REF!/30</f>
        <v>#REF!</v>
      </c>
      <c r="V9" s="110">
        <v>40</v>
      </c>
      <c r="W9" s="145">
        <f t="shared" si="7"/>
        <v>1.3333333333333333</v>
      </c>
      <c r="X9" s="113">
        <v>20</v>
      </c>
      <c r="Y9" s="143">
        <f t="shared" si="15"/>
        <v>0.66666666666666663</v>
      </c>
      <c r="Z9" s="113">
        <v>92.08</v>
      </c>
      <c r="AA9" s="143">
        <f>Z9/30</f>
        <v>3.0693333333333332</v>
      </c>
      <c r="AB9" s="115">
        <f t="shared" si="22"/>
        <v>917.14285700000005</v>
      </c>
      <c r="AC9" s="113">
        <f>((S9+Z9)*14)+((V9+X9)*12)</f>
        <v>14009.119998000002</v>
      </c>
      <c r="AD9" s="163">
        <f>+(AC9/'SERVISECURITAS 2018'!N31)-1</f>
        <v>0.13250035553529171</v>
      </c>
      <c r="AE9" s="142">
        <f>+AD9-AC9</f>
        <v>-14008.987497644466</v>
      </c>
    </row>
    <row r="10" spans="1:31" ht="17.100000000000001" customHeight="1" x14ac:dyDescent="0.2">
      <c r="A10" s="87" t="s">
        <v>106</v>
      </c>
      <c r="B10" s="110">
        <v>750</v>
      </c>
      <c r="C10" s="143">
        <f t="shared" si="10"/>
        <v>25</v>
      </c>
      <c r="D10" s="158">
        <v>105.30000000000005</v>
      </c>
      <c r="E10" s="143">
        <f t="shared" si="16"/>
        <v>3.510000000000002</v>
      </c>
      <c r="F10" s="161">
        <v>31.65</v>
      </c>
      <c r="G10" s="145">
        <f t="shared" si="11"/>
        <v>1.0549999999999999</v>
      </c>
      <c r="H10" s="161">
        <v>20.5</v>
      </c>
      <c r="I10" s="143">
        <f t="shared" si="12"/>
        <v>0.68333333333333335</v>
      </c>
      <c r="J10" s="113"/>
      <c r="K10" s="113"/>
      <c r="L10" s="115">
        <f t="shared" si="17"/>
        <v>907.45</v>
      </c>
      <c r="M10" s="113">
        <f t="shared" si="18"/>
        <v>12600</v>
      </c>
      <c r="N10" s="155">
        <v>12600</v>
      </c>
      <c r="O10" s="156">
        <f t="shared" si="19"/>
        <v>0</v>
      </c>
      <c r="P10" s="156">
        <f t="shared" si="20"/>
        <v>907.45</v>
      </c>
      <c r="Q10" s="155">
        <f t="shared" si="21"/>
        <v>12600</v>
      </c>
      <c r="S10" s="110">
        <v>857.14285700000005</v>
      </c>
      <c r="T10" s="143">
        <f t="shared" si="6"/>
        <v>28.571428566666668</v>
      </c>
      <c r="U10" s="143" t="e">
        <f>+#REF!/30</f>
        <v>#REF!</v>
      </c>
      <c r="V10" s="161">
        <v>30</v>
      </c>
      <c r="W10" s="145">
        <f t="shared" si="7"/>
        <v>1</v>
      </c>
      <c r="X10" s="161">
        <v>20</v>
      </c>
      <c r="Y10" s="143">
        <f t="shared" si="15"/>
        <v>0.66666666666666663</v>
      </c>
      <c r="Z10" s="113"/>
      <c r="AA10" s="113"/>
      <c r="AB10" s="115">
        <f t="shared" si="22"/>
        <v>907.14285700000005</v>
      </c>
      <c r="AC10" s="113">
        <f t="shared" si="23"/>
        <v>12599.999998000001</v>
      </c>
      <c r="AE10" s="142">
        <f>+AE9/14</f>
        <v>-1000.6419641174618</v>
      </c>
    </row>
    <row r="11" spans="1:31" s="138" customFormat="1" ht="17.100000000000001" customHeight="1" x14ac:dyDescent="0.2">
      <c r="A11" s="87" t="s">
        <v>76</v>
      </c>
      <c r="B11" s="110">
        <v>750</v>
      </c>
      <c r="C11" s="143">
        <f t="shared" si="10"/>
        <v>25</v>
      </c>
      <c r="D11" s="158">
        <v>105.30000000000005</v>
      </c>
      <c r="E11" s="143">
        <f t="shared" si="16"/>
        <v>3.510000000000002</v>
      </c>
      <c r="F11" s="161">
        <v>31.65</v>
      </c>
      <c r="G11" s="145">
        <f t="shared" si="11"/>
        <v>1.0549999999999999</v>
      </c>
      <c r="H11" s="161">
        <v>20.5</v>
      </c>
      <c r="I11" s="143">
        <f t="shared" si="12"/>
        <v>0.68333333333333335</v>
      </c>
      <c r="J11" s="113"/>
      <c r="K11" s="113"/>
      <c r="L11" s="115">
        <f t="shared" si="17"/>
        <v>907.45</v>
      </c>
      <c r="M11" s="113">
        <f t="shared" si="18"/>
        <v>12600</v>
      </c>
      <c r="N11" s="155">
        <v>12600</v>
      </c>
      <c r="O11" s="156">
        <f t="shared" si="19"/>
        <v>0</v>
      </c>
      <c r="P11" s="156">
        <f t="shared" si="20"/>
        <v>907.45</v>
      </c>
      <c r="Q11" s="155">
        <f t="shared" si="21"/>
        <v>12600</v>
      </c>
      <c r="S11" s="110">
        <v>857.14285700000005</v>
      </c>
      <c r="T11" s="143">
        <f t="shared" si="6"/>
        <v>28.571428566666668</v>
      </c>
      <c r="U11" s="143" t="e">
        <f>+#REF!/30</f>
        <v>#REF!</v>
      </c>
      <c r="V11" s="161">
        <v>30</v>
      </c>
      <c r="W11" s="145">
        <f t="shared" si="7"/>
        <v>1</v>
      </c>
      <c r="X11" s="161">
        <v>20</v>
      </c>
      <c r="Y11" s="143">
        <f t="shared" si="15"/>
        <v>0.66666666666666663</v>
      </c>
      <c r="Z11" s="113"/>
      <c r="AA11" s="113"/>
      <c r="AB11" s="115">
        <f t="shared" si="22"/>
        <v>907.14285700000005</v>
      </c>
      <c r="AC11" s="113">
        <f t="shared" si="23"/>
        <v>12599.999998000001</v>
      </c>
      <c r="AE11" s="149">
        <f>+AE10+Z9</f>
        <v>-908.5619641174618</v>
      </c>
    </row>
    <row r="12" spans="1:31" ht="17.100000000000001" hidden="1" customHeight="1" x14ac:dyDescent="0.2">
      <c r="A12" s="87" t="s">
        <v>93</v>
      </c>
      <c r="B12" s="110">
        <v>1085.28</v>
      </c>
      <c r="C12" s="143">
        <f t="shared" si="10"/>
        <v>36.176000000000002</v>
      </c>
      <c r="D12" s="158">
        <v>-185.28</v>
      </c>
      <c r="E12" s="143">
        <f t="shared" si="16"/>
        <v>-6.1760000000000002</v>
      </c>
      <c r="F12" s="161">
        <v>0</v>
      </c>
      <c r="G12" s="145">
        <f t="shared" si="11"/>
        <v>0</v>
      </c>
      <c r="H12" s="161">
        <v>0</v>
      </c>
      <c r="I12" s="143">
        <f t="shared" si="12"/>
        <v>0</v>
      </c>
      <c r="J12" s="110"/>
      <c r="K12" s="110"/>
      <c r="L12" s="121">
        <f t="shared" si="17"/>
        <v>900</v>
      </c>
      <c r="M12" s="110">
        <f t="shared" si="18"/>
        <v>12600</v>
      </c>
      <c r="N12" s="155">
        <v>12600</v>
      </c>
      <c r="O12" s="156">
        <f t="shared" si="19"/>
        <v>0</v>
      </c>
      <c r="P12" s="156">
        <f t="shared" si="20"/>
        <v>900</v>
      </c>
      <c r="Q12" s="155">
        <f t="shared" si="21"/>
        <v>12600</v>
      </c>
      <c r="S12" s="110">
        <v>857.14285700000005</v>
      </c>
      <c r="T12" s="143">
        <f t="shared" si="6"/>
        <v>28.571428566666668</v>
      </c>
      <c r="U12" s="143" t="e">
        <f>+#REF!/30</f>
        <v>#REF!</v>
      </c>
      <c r="V12" s="161">
        <v>0</v>
      </c>
      <c r="W12" s="145">
        <f t="shared" si="7"/>
        <v>0</v>
      </c>
      <c r="X12" s="161">
        <v>0</v>
      </c>
      <c r="Y12" s="143">
        <f t="shared" si="15"/>
        <v>0</v>
      </c>
      <c r="Z12" s="110"/>
      <c r="AA12" s="110"/>
      <c r="AB12" s="115">
        <f t="shared" si="22"/>
        <v>857.14285700000005</v>
      </c>
      <c r="AC12" s="113">
        <f t="shared" si="23"/>
        <v>11999.999998000001</v>
      </c>
    </row>
    <row r="13" spans="1:31" ht="17.100000000000001" customHeight="1" x14ac:dyDescent="0.2">
      <c r="A13" s="87" t="s">
        <v>77</v>
      </c>
      <c r="B13" s="110">
        <v>750</v>
      </c>
      <c r="C13" s="143">
        <f t="shared" si="10"/>
        <v>25</v>
      </c>
      <c r="D13" s="158">
        <v>105.30000000000005</v>
      </c>
      <c r="E13" s="143">
        <f t="shared" si="16"/>
        <v>3.510000000000002</v>
      </c>
      <c r="F13" s="161">
        <v>31.65</v>
      </c>
      <c r="G13" s="145">
        <f t="shared" si="11"/>
        <v>1.0549999999999999</v>
      </c>
      <c r="H13" s="161">
        <v>20.5</v>
      </c>
      <c r="I13" s="143">
        <f t="shared" si="12"/>
        <v>0.68333333333333335</v>
      </c>
      <c r="J13" s="110"/>
      <c r="K13" s="110"/>
      <c r="L13" s="121">
        <f t="shared" si="17"/>
        <v>907.45</v>
      </c>
      <c r="M13" s="110">
        <f t="shared" si="18"/>
        <v>12600</v>
      </c>
      <c r="N13" s="155">
        <v>12600</v>
      </c>
      <c r="O13" s="156">
        <f t="shared" si="19"/>
        <v>0</v>
      </c>
      <c r="P13" s="156">
        <f t="shared" si="20"/>
        <v>907.45</v>
      </c>
      <c r="Q13" s="155">
        <f t="shared" si="21"/>
        <v>12600</v>
      </c>
      <c r="S13" s="110">
        <v>857.14285700000005</v>
      </c>
      <c r="T13" s="143">
        <f t="shared" si="6"/>
        <v>28.571428566666668</v>
      </c>
      <c r="U13" s="143" t="e">
        <f>+#REF!/30</f>
        <v>#REF!</v>
      </c>
      <c r="V13" s="161">
        <v>30</v>
      </c>
      <c r="W13" s="145">
        <f t="shared" si="7"/>
        <v>1</v>
      </c>
      <c r="X13" s="161">
        <v>20</v>
      </c>
      <c r="Y13" s="143">
        <f t="shared" si="15"/>
        <v>0.66666666666666663</v>
      </c>
      <c r="Z13" s="110"/>
      <c r="AA13" s="110"/>
      <c r="AB13" s="115">
        <f t="shared" si="22"/>
        <v>907.14285700000005</v>
      </c>
      <c r="AC13" s="113">
        <f t="shared" si="23"/>
        <v>12599.999998000001</v>
      </c>
    </row>
    <row r="14" spans="1:31" s="138" customFormat="1" ht="17.100000000000001" hidden="1" customHeight="1" x14ac:dyDescent="0.2">
      <c r="A14" s="87" t="s">
        <v>92</v>
      </c>
      <c r="B14" s="110">
        <v>1047.3</v>
      </c>
      <c r="C14" s="120"/>
      <c r="D14" s="110">
        <v>-147.29999999999993</v>
      </c>
      <c r="E14" s="120">
        <f t="shared" si="16"/>
        <v>-4.9099999999999975</v>
      </c>
      <c r="F14" s="161">
        <v>0</v>
      </c>
      <c r="G14" s="144"/>
      <c r="H14" s="161">
        <v>0</v>
      </c>
      <c r="I14" s="144"/>
      <c r="J14" s="110"/>
      <c r="K14" s="110"/>
      <c r="L14" s="121">
        <f t="shared" si="17"/>
        <v>900</v>
      </c>
      <c r="M14" s="110">
        <f t="shared" si="18"/>
        <v>12600</v>
      </c>
      <c r="N14" s="155">
        <v>12600</v>
      </c>
      <c r="O14" s="156">
        <f t="shared" si="19"/>
        <v>0</v>
      </c>
      <c r="P14" s="157"/>
      <c r="Q14" s="157"/>
      <c r="S14" s="110">
        <v>857.14285700000005</v>
      </c>
      <c r="T14" s="120"/>
      <c r="U14" s="120" t="e">
        <f>+#REF!/30</f>
        <v>#REF!</v>
      </c>
      <c r="V14" s="161">
        <v>0</v>
      </c>
      <c r="W14" s="144"/>
      <c r="X14" s="161">
        <v>0</v>
      </c>
      <c r="Y14" s="144"/>
      <c r="Z14" s="110"/>
      <c r="AA14" s="110"/>
      <c r="AB14" s="115">
        <f t="shared" si="22"/>
        <v>857.14285700000005</v>
      </c>
      <c r="AC14" s="113">
        <f t="shared" si="23"/>
        <v>11999.999998000001</v>
      </c>
    </row>
    <row r="15" spans="1:31" s="138" customFormat="1" ht="17.100000000000001" hidden="1" customHeight="1" x14ac:dyDescent="0.2">
      <c r="A15" s="87" t="s">
        <v>89</v>
      </c>
      <c r="B15" s="110">
        <v>760.35</v>
      </c>
      <c r="C15" s="120"/>
      <c r="D15" s="110">
        <v>84.199999999999946</v>
      </c>
      <c r="E15" s="120">
        <f t="shared" si="16"/>
        <v>2.8066666666666649</v>
      </c>
      <c r="F15" s="161">
        <v>0</v>
      </c>
      <c r="G15" s="144"/>
      <c r="H15" s="161">
        <v>0</v>
      </c>
      <c r="I15" s="144"/>
      <c r="J15" s="110">
        <v>55.45</v>
      </c>
      <c r="K15" s="110"/>
      <c r="L15" s="121">
        <f t="shared" si="17"/>
        <v>900</v>
      </c>
      <c r="M15" s="110">
        <f t="shared" si="18"/>
        <v>12600</v>
      </c>
      <c r="N15" s="155">
        <v>12600</v>
      </c>
      <c r="O15" s="156">
        <f t="shared" si="19"/>
        <v>0</v>
      </c>
      <c r="P15" s="157"/>
      <c r="Q15" s="157"/>
      <c r="S15" s="110">
        <v>857.14285700000005</v>
      </c>
      <c r="T15" s="120"/>
      <c r="U15" s="120" t="e">
        <f>+#REF!/30</f>
        <v>#REF!</v>
      </c>
      <c r="V15" s="161">
        <v>0</v>
      </c>
      <c r="W15" s="144"/>
      <c r="X15" s="161">
        <v>0</v>
      </c>
      <c r="Y15" s="144"/>
      <c r="Z15" s="110">
        <v>55.45</v>
      </c>
      <c r="AA15" s="110"/>
      <c r="AB15" s="115">
        <f t="shared" si="22"/>
        <v>857.14285700000005</v>
      </c>
      <c r="AC15" s="113">
        <f t="shared" si="23"/>
        <v>11999.999998000001</v>
      </c>
    </row>
    <row r="16" spans="1:31" s="138" customFormat="1" ht="17.100000000000001" customHeight="1" x14ac:dyDescent="0.2">
      <c r="A16" s="87" t="s">
        <v>36</v>
      </c>
      <c r="B16" s="110">
        <v>750</v>
      </c>
      <c r="C16" s="143">
        <f>B16/30</f>
        <v>25</v>
      </c>
      <c r="D16" s="158">
        <v>105.30000000000005</v>
      </c>
      <c r="E16" s="143">
        <f t="shared" si="16"/>
        <v>3.510000000000002</v>
      </c>
      <c r="F16" s="161">
        <v>31.65</v>
      </c>
      <c r="G16" s="145">
        <f>F16/30</f>
        <v>1.0549999999999999</v>
      </c>
      <c r="H16" s="161">
        <v>20.5</v>
      </c>
      <c r="I16" s="143">
        <f t="shared" ref="I16:I20" si="24">H16/30</f>
        <v>0.68333333333333335</v>
      </c>
      <c r="J16" s="113"/>
      <c r="K16" s="113"/>
      <c r="L16" s="115">
        <f t="shared" si="17"/>
        <v>907.45</v>
      </c>
      <c r="M16" s="113">
        <f t="shared" si="18"/>
        <v>12600</v>
      </c>
      <c r="N16" s="155">
        <v>12600</v>
      </c>
      <c r="O16" s="156">
        <f t="shared" si="19"/>
        <v>0</v>
      </c>
      <c r="P16" s="157">
        <f t="shared" ref="P16:P19" si="25">+B16+D16+F16+H16+J16</f>
        <v>907.45</v>
      </c>
      <c r="Q16" s="157">
        <f t="shared" ref="Q16:Q19" si="26">((B16+D16+J16)*14+(F16+H16)*12)</f>
        <v>12600</v>
      </c>
      <c r="S16" s="110">
        <v>857.14285700000005</v>
      </c>
      <c r="T16" s="143">
        <f>S16/30</f>
        <v>28.571428566666668</v>
      </c>
      <c r="U16" s="143" t="e">
        <f>+#REF!/30</f>
        <v>#REF!</v>
      </c>
      <c r="V16" s="161">
        <v>30</v>
      </c>
      <c r="W16" s="145">
        <f>V16/30</f>
        <v>1</v>
      </c>
      <c r="X16" s="161">
        <v>20</v>
      </c>
      <c r="Y16" s="143">
        <f t="shared" ref="Y16:Y20" si="27">X16/30</f>
        <v>0.66666666666666663</v>
      </c>
      <c r="Z16" s="113"/>
      <c r="AA16" s="113"/>
      <c r="AB16" s="115">
        <f t="shared" si="22"/>
        <v>907.14285700000005</v>
      </c>
      <c r="AC16" s="113">
        <f t="shared" si="23"/>
        <v>12599.999998000001</v>
      </c>
    </row>
    <row r="17" spans="1:30" s="138" customFormat="1" ht="17.100000000000001" hidden="1" customHeight="1" x14ac:dyDescent="0.2">
      <c r="A17" s="87" t="s">
        <v>96</v>
      </c>
      <c r="B17" s="110">
        <v>714.15</v>
      </c>
      <c r="C17" s="144">
        <f>B17/30</f>
        <v>23.805</v>
      </c>
      <c r="D17" s="158">
        <v>112.48714285714284</v>
      </c>
      <c r="E17" s="144">
        <f t="shared" si="16"/>
        <v>3.7495714285714281</v>
      </c>
      <c r="F17" s="110">
        <v>57.83</v>
      </c>
      <c r="G17" s="144">
        <f>F17/30</f>
        <v>1.9276666666666666</v>
      </c>
      <c r="H17" s="110">
        <v>27.76</v>
      </c>
      <c r="I17" s="143">
        <f t="shared" si="24"/>
        <v>0.92533333333333334</v>
      </c>
      <c r="J17" s="110"/>
      <c r="K17" s="110"/>
      <c r="L17" s="121">
        <f t="shared" si="17"/>
        <v>912.22714285714289</v>
      </c>
      <c r="M17" s="110">
        <f t="shared" si="18"/>
        <v>12600</v>
      </c>
      <c r="N17" s="155">
        <v>12600</v>
      </c>
      <c r="O17" s="156">
        <f t="shared" si="19"/>
        <v>0</v>
      </c>
      <c r="P17" s="157">
        <f t="shared" si="25"/>
        <v>912.22714285714289</v>
      </c>
      <c r="Q17" s="157">
        <f t="shared" si="26"/>
        <v>12600</v>
      </c>
      <c r="S17" s="110">
        <v>857.14285700000005</v>
      </c>
      <c r="T17" s="144">
        <f>S17/30</f>
        <v>28.571428566666668</v>
      </c>
      <c r="U17" s="144" t="e">
        <f>+#REF!/30</f>
        <v>#REF!</v>
      </c>
      <c r="V17" s="110">
        <v>57.83</v>
      </c>
      <c r="W17" s="144">
        <f>V17/30</f>
        <v>1.9276666666666666</v>
      </c>
      <c r="X17" s="110">
        <v>27.76</v>
      </c>
      <c r="Y17" s="143">
        <f t="shared" si="27"/>
        <v>0.92533333333333334</v>
      </c>
      <c r="Z17" s="110"/>
      <c r="AA17" s="110"/>
      <c r="AB17" s="115">
        <f t="shared" si="22"/>
        <v>942.73285700000008</v>
      </c>
      <c r="AC17" s="113">
        <f t="shared" si="23"/>
        <v>13027.079998000001</v>
      </c>
    </row>
    <row r="18" spans="1:30" s="138" customFormat="1" ht="17.100000000000001" customHeight="1" x14ac:dyDescent="0.2">
      <c r="A18" s="87" t="s">
        <v>108</v>
      </c>
      <c r="B18" s="110">
        <v>750</v>
      </c>
      <c r="C18" s="143">
        <f>B18/30</f>
        <v>25</v>
      </c>
      <c r="D18" s="158">
        <v>118.74000000000004</v>
      </c>
      <c r="E18" s="143">
        <f t="shared" si="16"/>
        <v>3.9580000000000011</v>
      </c>
      <c r="F18" s="110">
        <v>36.47</v>
      </c>
      <c r="G18" s="145">
        <f>F18/30</f>
        <v>1.2156666666666667</v>
      </c>
      <c r="H18" s="113">
        <v>0</v>
      </c>
      <c r="I18" s="143">
        <f t="shared" si="24"/>
        <v>0</v>
      </c>
      <c r="J18" s="113"/>
      <c r="K18" s="113"/>
      <c r="L18" s="115">
        <f t="shared" si="17"/>
        <v>905.21</v>
      </c>
      <c r="M18" s="113">
        <f t="shared" si="18"/>
        <v>12600</v>
      </c>
      <c r="N18" s="155">
        <v>12600</v>
      </c>
      <c r="O18" s="156">
        <f t="shared" si="19"/>
        <v>0</v>
      </c>
      <c r="P18" s="157">
        <f t="shared" si="25"/>
        <v>905.21</v>
      </c>
      <c r="Q18" s="157">
        <f t="shared" si="26"/>
        <v>12600</v>
      </c>
      <c r="S18" s="110">
        <v>857.14285700000005</v>
      </c>
      <c r="T18" s="143">
        <f>S18/30</f>
        <v>28.571428566666668</v>
      </c>
      <c r="U18" s="143" t="e">
        <f>+#REF!/30</f>
        <v>#REF!</v>
      </c>
      <c r="V18" s="110">
        <v>37</v>
      </c>
      <c r="W18" s="145">
        <f>V18/30</f>
        <v>1.2333333333333334</v>
      </c>
      <c r="X18" s="113">
        <v>13</v>
      </c>
      <c r="Y18" s="143">
        <f t="shared" si="27"/>
        <v>0.43333333333333335</v>
      </c>
      <c r="Z18" s="113"/>
      <c r="AA18" s="113"/>
      <c r="AB18" s="115">
        <f t="shared" si="22"/>
        <v>907.14285700000005</v>
      </c>
      <c r="AC18" s="113">
        <f t="shared" si="23"/>
        <v>12599.999998000001</v>
      </c>
      <c r="AD18" s="149">
        <f>+AC18-AC16</f>
        <v>0</v>
      </c>
    </row>
    <row r="19" spans="1:30" s="138" customFormat="1" ht="17.100000000000001" customHeight="1" x14ac:dyDescent="0.2">
      <c r="A19" s="87" t="s">
        <v>107</v>
      </c>
      <c r="B19" s="110">
        <v>750</v>
      </c>
      <c r="C19" s="143">
        <f>B19/30</f>
        <v>25</v>
      </c>
      <c r="D19" s="158">
        <v>105.30000000000005</v>
      </c>
      <c r="E19" s="143">
        <f t="shared" si="16"/>
        <v>3.510000000000002</v>
      </c>
      <c r="F19" s="161">
        <v>31.65</v>
      </c>
      <c r="G19" s="145">
        <f>F19/30</f>
        <v>1.0549999999999999</v>
      </c>
      <c r="H19" s="161">
        <v>20.5</v>
      </c>
      <c r="I19" s="143">
        <f t="shared" si="24"/>
        <v>0.68333333333333335</v>
      </c>
      <c r="J19" s="113"/>
      <c r="K19" s="113"/>
      <c r="L19" s="115">
        <f t="shared" si="17"/>
        <v>907.45</v>
      </c>
      <c r="M19" s="113">
        <f t="shared" si="18"/>
        <v>12600</v>
      </c>
      <c r="N19" s="155">
        <v>12600</v>
      </c>
      <c r="O19" s="156">
        <f t="shared" si="19"/>
        <v>0</v>
      </c>
      <c r="P19" s="157">
        <f t="shared" si="25"/>
        <v>907.45</v>
      </c>
      <c r="Q19" s="157">
        <f t="shared" si="26"/>
        <v>12600</v>
      </c>
      <c r="S19" s="110">
        <v>857.14285700000005</v>
      </c>
      <c r="T19" s="143">
        <f>S19/30</f>
        <v>28.571428566666668</v>
      </c>
      <c r="U19" s="143" t="e">
        <f>+#REF!/30</f>
        <v>#REF!</v>
      </c>
      <c r="V19" s="161">
        <v>30</v>
      </c>
      <c r="W19" s="145">
        <f>V19/30</f>
        <v>1</v>
      </c>
      <c r="X19" s="161">
        <v>20</v>
      </c>
      <c r="Y19" s="143">
        <f t="shared" si="27"/>
        <v>0.66666666666666663</v>
      </c>
      <c r="Z19" s="113"/>
      <c r="AA19" s="113"/>
      <c r="AB19" s="115">
        <f t="shared" si="22"/>
        <v>907.14285700000005</v>
      </c>
      <c r="AC19" s="113">
        <f t="shared" si="23"/>
        <v>12599.999998000001</v>
      </c>
      <c r="AD19" s="138">
        <f>+AD18/12</f>
        <v>0</v>
      </c>
    </row>
    <row r="20" spans="1:30" ht="17.100000000000001" hidden="1" customHeight="1" x14ac:dyDescent="0.2">
      <c r="A20" s="87" t="s">
        <v>95</v>
      </c>
      <c r="B20" s="110">
        <v>946.91</v>
      </c>
      <c r="C20" s="120"/>
      <c r="D20" s="110"/>
      <c r="E20" s="120"/>
      <c r="F20" s="110">
        <v>0</v>
      </c>
      <c r="G20" s="120"/>
      <c r="H20" s="110">
        <v>0</v>
      </c>
      <c r="I20" s="120">
        <f t="shared" si="24"/>
        <v>0</v>
      </c>
      <c r="J20" s="110"/>
      <c r="K20" s="110"/>
      <c r="L20" s="121">
        <f t="shared" si="13"/>
        <v>946.91</v>
      </c>
      <c r="M20" s="110">
        <f t="shared" si="14"/>
        <v>13256.74</v>
      </c>
      <c r="S20" s="110">
        <v>946.91</v>
      </c>
      <c r="T20" s="120"/>
      <c r="U20" s="120"/>
      <c r="V20" s="110">
        <v>0</v>
      </c>
      <c r="W20" s="120"/>
      <c r="X20" s="110">
        <v>0</v>
      </c>
      <c r="Y20" s="120">
        <f t="shared" si="27"/>
        <v>0</v>
      </c>
      <c r="Z20" s="110"/>
      <c r="AA20" s="110"/>
      <c r="AB20" s="121">
        <f>+Z20+X20+V20+S20</f>
        <v>946.91</v>
      </c>
      <c r="AC20" s="110">
        <f>((S20+Z20)*14)+((V20+X20)*12)</f>
        <v>13256.74</v>
      </c>
    </row>
    <row r="21" spans="1:30" ht="15" customHeight="1" x14ac:dyDescent="0.2">
      <c r="AD21" s="142">
        <f>-AD19+V18</f>
        <v>37</v>
      </c>
    </row>
    <row r="22" spans="1:30" ht="15" customHeight="1" x14ac:dyDescent="0.2">
      <c r="M22" s="142"/>
      <c r="V22" s="73">
        <f>+V9*12</f>
        <v>480</v>
      </c>
      <c r="X22" s="73">
        <f>+X9*12</f>
        <v>240</v>
      </c>
      <c r="AC22" s="142"/>
    </row>
    <row r="23" spans="1:30" x14ac:dyDescent="0.2">
      <c r="M23" s="142"/>
      <c r="AC23" s="142"/>
    </row>
    <row r="24" spans="1:30" x14ac:dyDescent="0.2">
      <c r="M24" s="142"/>
      <c r="AC24" s="142"/>
    </row>
    <row r="25" spans="1:30" x14ac:dyDescent="0.2">
      <c r="M25" s="142"/>
      <c r="AC25" s="142"/>
    </row>
    <row r="27" spans="1:30" x14ac:dyDescent="0.2">
      <c r="S27" s="162"/>
    </row>
    <row r="29" spans="1:30" x14ac:dyDescent="0.2">
      <c r="Z29" s="142"/>
    </row>
  </sheetData>
  <sheetProtection selectLockedCells="1" selectUnlockedCells="1"/>
  <autoFilter ref="A2:M20" xr:uid="{00000000-0009-0000-0000-000009000000}"/>
  <mergeCells count="3">
    <mergeCell ref="B1:M1"/>
    <mergeCell ref="S1:AC1"/>
    <mergeCell ref="P2:Q2"/>
  </mergeCells>
  <printOptions horizontalCentered="1"/>
  <pageMargins left="0.15748031496062992" right="0.15748031496062992" top="1.27" bottom="0.15748031496062992" header="0.49" footer="0.15748031496062992"/>
  <pageSetup paperSize="9" scale="89" orientation="landscape" r:id="rId1"/>
  <headerFooter alignWithMargins="0">
    <oddHeader>&amp;C&amp;"Calibri,Negrita"&amp;12&amp;ETABLA SALARIAL CONVENIO SERVICIOS SECURITAS, S.A. 2019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44"/>
  <sheetViews>
    <sheetView zoomScale="90" workbookViewId="0">
      <pane xSplit="2" ySplit="1" topLeftCell="C17" activePane="bottomRight" state="frozen"/>
      <selection pane="topRight" activeCell="C1" sqref="C1"/>
      <selection pane="bottomLeft" activeCell="A2" sqref="A2"/>
      <selection pane="bottomRight" activeCell="N31" sqref="N31"/>
    </sheetView>
  </sheetViews>
  <sheetFormatPr baseColWidth="10" defaultColWidth="10.140625" defaultRowHeight="12.75" x14ac:dyDescent="0.2"/>
  <cols>
    <col min="1" max="1" width="5.140625" style="43" bestFit="1" customWidth="1"/>
    <col min="2" max="2" width="25.85546875" style="37" customWidth="1"/>
    <col min="3" max="3" width="7.85546875" style="42" customWidth="1"/>
    <col min="4" max="4" width="8.85546875" style="38" hidden="1" customWidth="1"/>
    <col min="5" max="5" width="7.85546875" customWidth="1"/>
    <col min="6" max="6" width="9.42578125" style="38" hidden="1" customWidth="1"/>
    <col min="7" max="7" width="6.5703125" customWidth="1"/>
    <col min="8" max="8" width="7.85546875" style="38" hidden="1" customWidth="1"/>
    <col min="9" max="9" width="7.140625" customWidth="1"/>
    <col min="10" max="10" width="7.85546875" hidden="1" customWidth="1"/>
    <col min="11" max="11" width="7.85546875" customWidth="1"/>
    <col min="12" max="12" width="0.5703125" customWidth="1"/>
    <col min="13" max="13" width="7.85546875" bestFit="1" customWidth="1"/>
    <col min="14" max="14" width="6.85546875" customWidth="1"/>
    <col min="15" max="15" width="5.140625" style="42" customWidth="1"/>
    <col min="16" max="16" width="7" style="42" customWidth="1"/>
    <col min="17" max="17" width="7.140625" style="42" customWidth="1"/>
    <col min="18" max="18" width="11.85546875" style="42" customWidth="1"/>
    <col min="19" max="19" width="11" style="42" customWidth="1"/>
    <col min="20" max="20" width="10" style="42" customWidth="1"/>
    <col min="21" max="21" width="7.140625" style="42" customWidth="1"/>
    <col min="22" max="22" width="9.140625" customWidth="1"/>
    <col min="23" max="23" width="8.85546875" style="38" hidden="1" customWidth="1"/>
    <col min="24" max="24" width="10" style="42" customWidth="1"/>
    <col min="25" max="25" width="1.140625" customWidth="1"/>
    <col min="26" max="26" width="6.42578125" customWidth="1"/>
    <col min="27" max="27" width="27.85546875" customWidth="1"/>
    <col min="28" max="28" width="7.85546875" bestFit="1" customWidth="1"/>
    <col min="29" max="29" width="7.85546875" customWidth="1"/>
    <col min="30" max="30" width="8.85546875" bestFit="1" customWidth="1"/>
    <col min="31" max="31" width="6.85546875" bestFit="1" customWidth="1"/>
    <col min="32" max="32" width="10.5703125" customWidth="1"/>
    <col min="33" max="33" width="7.85546875" bestFit="1" customWidth="1"/>
    <col min="34" max="34" width="8" bestFit="1" customWidth="1"/>
    <col min="35" max="35" width="9" customWidth="1"/>
    <col min="36" max="36" width="8.140625" customWidth="1"/>
    <col min="37" max="37" width="9" customWidth="1"/>
  </cols>
  <sheetData>
    <row r="1" spans="1:24" s="40" customFormat="1" ht="32.25" customHeight="1" x14ac:dyDescent="0.2">
      <c r="A1" s="48" t="s">
        <v>0</v>
      </c>
      <c r="B1" s="49" t="s">
        <v>1</v>
      </c>
      <c r="C1" s="41" t="s">
        <v>2</v>
      </c>
      <c r="D1" s="50">
        <v>110021</v>
      </c>
      <c r="E1" s="41" t="s">
        <v>3</v>
      </c>
      <c r="F1" s="51">
        <v>15220</v>
      </c>
      <c r="G1" s="41" t="s">
        <v>4</v>
      </c>
      <c r="H1" s="51">
        <v>116220</v>
      </c>
      <c r="I1" s="41" t="s">
        <v>5</v>
      </c>
      <c r="J1" s="50">
        <v>117520</v>
      </c>
      <c r="K1" s="52" t="s">
        <v>6</v>
      </c>
      <c r="L1" s="41"/>
      <c r="M1" s="53" t="s">
        <v>7</v>
      </c>
      <c r="N1" s="41" t="s">
        <v>8</v>
      </c>
      <c r="O1" s="41" t="s">
        <v>9</v>
      </c>
      <c r="P1" s="41" t="s">
        <v>41</v>
      </c>
      <c r="Q1" s="41" t="s">
        <v>42</v>
      </c>
      <c r="R1" s="41" t="s">
        <v>43</v>
      </c>
      <c r="S1" s="41" t="s">
        <v>44</v>
      </c>
      <c r="T1" s="41" t="s">
        <v>10</v>
      </c>
      <c r="U1" s="41" t="s">
        <v>45</v>
      </c>
      <c r="V1" s="41" t="s">
        <v>11</v>
      </c>
      <c r="W1" s="54">
        <v>110900</v>
      </c>
      <c r="X1" s="55" t="s">
        <v>12</v>
      </c>
    </row>
    <row r="2" spans="1:24" ht="18" customHeight="1" x14ac:dyDescent="0.2">
      <c r="B2" s="11" t="s">
        <v>13</v>
      </c>
      <c r="C2" s="12"/>
      <c r="D2" s="13"/>
      <c r="E2" s="12"/>
      <c r="F2" s="13"/>
      <c r="G2" s="12"/>
      <c r="H2" s="13"/>
      <c r="I2" s="12"/>
      <c r="J2" s="12"/>
      <c r="K2" s="12"/>
      <c r="L2" s="22"/>
      <c r="M2" s="12"/>
      <c r="N2" s="12"/>
      <c r="O2" s="16"/>
      <c r="P2" s="16"/>
      <c r="Q2" s="16"/>
      <c r="R2" s="16"/>
      <c r="S2" s="16"/>
      <c r="T2" s="16"/>
      <c r="U2" s="16"/>
      <c r="V2" s="17"/>
      <c r="W2" s="18"/>
      <c r="X2" s="19"/>
    </row>
    <row r="3" spans="1:24" ht="18" customHeight="1" x14ac:dyDescent="0.2">
      <c r="A3" s="44">
        <v>102</v>
      </c>
      <c r="B3" s="21" t="s">
        <v>14</v>
      </c>
      <c r="C3" s="22">
        <v>1468.59</v>
      </c>
      <c r="D3" s="23">
        <f t="shared" ref="D3:D10" si="0">C3/30</f>
        <v>48.952999999999996</v>
      </c>
      <c r="E3" s="22">
        <v>72.94</v>
      </c>
      <c r="F3" s="23">
        <f t="shared" ref="F3:F32" si="1">E3/30</f>
        <v>2.4313333333333333</v>
      </c>
      <c r="G3" s="22"/>
      <c r="H3" s="24"/>
      <c r="I3" s="22"/>
      <c r="J3" s="22"/>
      <c r="K3" s="15">
        <f t="shared" ref="K3:K8" si="2">+C3+E3+G3+I3</f>
        <v>1541.53</v>
      </c>
      <c r="L3" s="22"/>
      <c r="M3" s="46"/>
      <c r="N3" s="25"/>
      <c r="O3" s="22">
        <v>0.22</v>
      </c>
      <c r="P3" s="22">
        <v>7.88</v>
      </c>
      <c r="Q3" s="22">
        <v>13.15</v>
      </c>
      <c r="R3" s="22">
        <v>26.31</v>
      </c>
      <c r="S3" s="22">
        <v>24.12</v>
      </c>
      <c r="T3" s="22">
        <v>116.39</v>
      </c>
      <c r="U3" s="22">
        <v>100</v>
      </c>
      <c r="V3" s="25">
        <v>73.430000000000007</v>
      </c>
      <c r="W3" s="23">
        <f t="shared" ref="W3:W32" si="3">V3/30</f>
        <v>2.4476666666666671</v>
      </c>
      <c r="X3" s="26">
        <v>46.86</v>
      </c>
    </row>
    <row r="4" spans="1:24" ht="18" customHeight="1" x14ac:dyDescent="0.2">
      <c r="A4" s="44">
        <v>105</v>
      </c>
      <c r="B4" s="21" t="s">
        <v>15</v>
      </c>
      <c r="C4" s="22">
        <v>1395.76</v>
      </c>
      <c r="D4" s="23">
        <f t="shared" si="0"/>
        <v>46.525333333333336</v>
      </c>
      <c r="E4" s="22">
        <v>72.94</v>
      </c>
      <c r="F4" s="23">
        <f t="shared" si="1"/>
        <v>2.4313333333333333</v>
      </c>
      <c r="G4" s="22"/>
      <c r="H4" s="24"/>
      <c r="I4" s="22"/>
      <c r="J4" s="22"/>
      <c r="K4" s="15">
        <f t="shared" si="2"/>
        <v>1468.7</v>
      </c>
      <c r="L4" s="22"/>
      <c r="M4" s="46"/>
      <c r="N4" s="25"/>
      <c r="O4" s="22">
        <v>0.22</v>
      </c>
      <c r="P4" s="22">
        <v>7.88</v>
      </c>
      <c r="Q4" s="22">
        <v>13.15</v>
      </c>
      <c r="R4" s="22">
        <v>26.31</v>
      </c>
      <c r="S4" s="22">
        <v>24.12</v>
      </c>
      <c r="T4" s="22">
        <v>116.39</v>
      </c>
      <c r="U4" s="22">
        <v>100</v>
      </c>
      <c r="V4" s="25">
        <v>69.790000000000006</v>
      </c>
      <c r="W4" s="23">
        <f t="shared" si="3"/>
        <v>2.3263333333333334</v>
      </c>
      <c r="X4" s="26">
        <v>46.86</v>
      </c>
    </row>
    <row r="5" spans="1:24" ht="18" customHeight="1" x14ac:dyDescent="0.2">
      <c r="A5" s="44">
        <v>109</v>
      </c>
      <c r="B5" s="21" t="s">
        <v>16</v>
      </c>
      <c r="C5" s="22">
        <v>1395.76</v>
      </c>
      <c r="D5" s="23">
        <f t="shared" si="0"/>
        <v>46.525333333333336</v>
      </c>
      <c r="E5" s="22">
        <v>72.94</v>
      </c>
      <c r="F5" s="23">
        <f t="shared" si="1"/>
        <v>2.4313333333333333</v>
      </c>
      <c r="G5" s="22"/>
      <c r="H5" s="24"/>
      <c r="I5" s="22"/>
      <c r="J5" s="22"/>
      <c r="K5" s="15">
        <f t="shared" si="2"/>
        <v>1468.7</v>
      </c>
      <c r="L5" s="22"/>
      <c r="M5" s="46"/>
      <c r="N5" s="25"/>
      <c r="O5" s="22">
        <v>0.22</v>
      </c>
      <c r="P5" s="22">
        <v>7.88</v>
      </c>
      <c r="Q5" s="22">
        <v>13.15</v>
      </c>
      <c r="R5" s="22">
        <v>26.31</v>
      </c>
      <c r="S5" s="22">
        <v>24.12</v>
      </c>
      <c r="T5" s="22">
        <v>116.39</v>
      </c>
      <c r="U5" s="22">
        <v>100</v>
      </c>
      <c r="V5" s="25">
        <v>69.790000000000006</v>
      </c>
      <c r="W5" s="23">
        <f t="shared" si="3"/>
        <v>2.3263333333333334</v>
      </c>
      <c r="X5" s="26">
        <v>46.86</v>
      </c>
    </row>
    <row r="6" spans="1:24" ht="18" customHeight="1" x14ac:dyDescent="0.2">
      <c r="A6" s="44">
        <v>103</v>
      </c>
      <c r="B6" s="21" t="s">
        <v>46</v>
      </c>
      <c r="C6" s="22">
        <v>1395.76</v>
      </c>
      <c r="D6" s="23">
        <f t="shared" si="0"/>
        <v>46.525333333333336</v>
      </c>
      <c r="E6" s="22">
        <v>72.94</v>
      </c>
      <c r="F6" s="23">
        <f t="shared" si="1"/>
        <v>2.4313333333333333</v>
      </c>
      <c r="G6" s="22"/>
      <c r="H6" s="24"/>
      <c r="I6" s="22"/>
      <c r="J6" s="22"/>
      <c r="K6" s="15">
        <f t="shared" si="2"/>
        <v>1468.7</v>
      </c>
      <c r="L6" s="22"/>
      <c r="M6" s="46"/>
      <c r="N6" s="25"/>
      <c r="O6" s="22">
        <v>0.22</v>
      </c>
      <c r="P6" s="22">
        <v>7.88</v>
      </c>
      <c r="Q6" s="22">
        <v>13.15</v>
      </c>
      <c r="R6" s="22">
        <v>26.31</v>
      </c>
      <c r="S6" s="22">
        <v>24.12</v>
      </c>
      <c r="T6" s="22">
        <v>116.39</v>
      </c>
      <c r="U6" s="22">
        <v>100</v>
      </c>
      <c r="V6" s="25">
        <v>69.790000000000006</v>
      </c>
      <c r="W6" s="23">
        <f t="shared" si="3"/>
        <v>2.3263333333333334</v>
      </c>
      <c r="X6" s="26">
        <v>46.86</v>
      </c>
    </row>
    <row r="7" spans="1:24" ht="18" customHeight="1" x14ac:dyDescent="0.2">
      <c r="A7" s="44">
        <v>122</v>
      </c>
      <c r="B7" s="21" t="s">
        <v>17</v>
      </c>
      <c r="C7" s="22">
        <v>1326.72</v>
      </c>
      <c r="D7" s="23">
        <f t="shared" si="0"/>
        <v>44.224000000000004</v>
      </c>
      <c r="E7" s="22">
        <v>72.94</v>
      </c>
      <c r="F7" s="23">
        <f t="shared" si="1"/>
        <v>2.4313333333333333</v>
      </c>
      <c r="G7" s="22"/>
      <c r="H7" s="24"/>
      <c r="I7" s="22"/>
      <c r="J7" s="22"/>
      <c r="K7" s="15">
        <f t="shared" si="2"/>
        <v>1399.66</v>
      </c>
      <c r="L7" s="22"/>
      <c r="M7" s="46"/>
      <c r="N7" s="25"/>
      <c r="O7" s="22">
        <v>0.22</v>
      </c>
      <c r="P7" s="22">
        <v>7.88</v>
      </c>
      <c r="Q7" s="22">
        <v>13.15</v>
      </c>
      <c r="R7" s="22">
        <v>26.31</v>
      </c>
      <c r="S7" s="22">
        <v>24.12</v>
      </c>
      <c r="T7" s="22">
        <v>116.39</v>
      </c>
      <c r="U7" s="22">
        <v>100</v>
      </c>
      <c r="V7" s="25">
        <v>66.34</v>
      </c>
      <c r="W7" s="23">
        <f t="shared" si="3"/>
        <v>2.2113333333333336</v>
      </c>
      <c r="X7" s="26">
        <v>46.86</v>
      </c>
    </row>
    <row r="8" spans="1:24" ht="18" customHeight="1" x14ac:dyDescent="0.2">
      <c r="A8" s="44">
        <v>126</v>
      </c>
      <c r="B8" s="21" t="s">
        <v>47</v>
      </c>
      <c r="C8" s="22">
        <v>1326.72</v>
      </c>
      <c r="D8" s="23">
        <f t="shared" si="0"/>
        <v>44.224000000000004</v>
      </c>
      <c r="E8" s="22">
        <v>72.94</v>
      </c>
      <c r="F8" s="23">
        <f t="shared" si="1"/>
        <v>2.4313333333333333</v>
      </c>
      <c r="G8" s="22"/>
      <c r="H8" s="24"/>
      <c r="I8" s="22"/>
      <c r="J8" s="22"/>
      <c r="K8" s="15">
        <f t="shared" si="2"/>
        <v>1399.66</v>
      </c>
      <c r="L8" s="22"/>
      <c r="M8" s="46"/>
      <c r="N8" s="25"/>
      <c r="O8" s="22">
        <v>0.22</v>
      </c>
      <c r="P8" s="22">
        <v>7.88</v>
      </c>
      <c r="Q8" s="22">
        <v>13.15</v>
      </c>
      <c r="R8" s="22">
        <v>26.31</v>
      </c>
      <c r="S8" s="22">
        <v>24.12</v>
      </c>
      <c r="T8" s="22">
        <v>116.39</v>
      </c>
      <c r="U8" s="22">
        <v>100</v>
      </c>
      <c r="V8" s="25">
        <v>66.34</v>
      </c>
      <c r="W8" s="23">
        <f t="shared" si="3"/>
        <v>2.2113333333333336</v>
      </c>
      <c r="X8" s="26">
        <v>46.86</v>
      </c>
    </row>
    <row r="9" spans="1:24" ht="18" customHeight="1" x14ac:dyDescent="0.2">
      <c r="A9" s="44">
        <v>113</v>
      </c>
      <c r="B9" s="21" t="s">
        <v>18</v>
      </c>
      <c r="C9" s="22">
        <v>1326.72</v>
      </c>
      <c r="D9" s="23">
        <f t="shared" si="0"/>
        <v>44.224000000000004</v>
      </c>
      <c r="E9" s="22">
        <v>72.94</v>
      </c>
      <c r="F9" s="23">
        <f t="shared" si="1"/>
        <v>2.4313333333333333</v>
      </c>
      <c r="G9" s="22"/>
      <c r="H9" s="24"/>
      <c r="I9" s="22"/>
      <c r="J9" s="22"/>
      <c r="K9" s="15">
        <f>C9+E9+G9+I9</f>
        <v>1399.66</v>
      </c>
      <c r="L9" s="22"/>
      <c r="M9" s="46"/>
      <c r="N9" s="25"/>
      <c r="O9" s="22">
        <v>0.22</v>
      </c>
      <c r="P9" s="22">
        <v>7.88</v>
      </c>
      <c r="Q9" s="22">
        <v>13.15</v>
      </c>
      <c r="R9" s="22">
        <v>26.31</v>
      </c>
      <c r="S9" s="22">
        <v>24.12</v>
      </c>
      <c r="T9" s="22">
        <v>116.39</v>
      </c>
      <c r="U9" s="22">
        <v>100</v>
      </c>
      <c r="V9" s="25">
        <v>66.34</v>
      </c>
      <c r="W9" s="23">
        <f t="shared" si="3"/>
        <v>2.2113333333333336</v>
      </c>
      <c r="X9" s="26">
        <v>46.86</v>
      </c>
    </row>
    <row r="10" spans="1:24" ht="18" customHeight="1" x14ac:dyDescent="0.2">
      <c r="A10" s="44">
        <v>114</v>
      </c>
      <c r="B10" s="21" t="s">
        <v>19</v>
      </c>
      <c r="C10" s="22">
        <v>1261.1500000000001</v>
      </c>
      <c r="D10" s="23">
        <f t="shared" si="0"/>
        <v>42.038333333333334</v>
      </c>
      <c r="E10" s="22">
        <v>72.94</v>
      </c>
      <c r="F10" s="23">
        <f t="shared" si="1"/>
        <v>2.4313333333333333</v>
      </c>
      <c r="G10" s="22"/>
      <c r="H10" s="24"/>
      <c r="I10" s="22"/>
      <c r="J10" s="22"/>
      <c r="K10" s="15">
        <f>C10+E10+G10+I10</f>
        <v>1334.0900000000001</v>
      </c>
      <c r="L10" s="22"/>
      <c r="M10" s="46"/>
      <c r="N10" s="25"/>
      <c r="O10" s="22">
        <v>0.22</v>
      </c>
      <c r="P10" s="22">
        <v>7.88</v>
      </c>
      <c r="Q10" s="22">
        <v>13.15</v>
      </c>
      <c r="R10" s="22">
        <v>26.31</v>
      </c>
      <c r="S10" s="22">
        <v>24.12</v>
      </c>
      <c r="T10" s="22">
        <v>116.39</v>
      </c>
      <c r="U10" s="22">
        <v>100</v>
      </c>
      <c r="V10" s="25">
        <v>63.06</v>
      </c>
      <c r="W10" s="23">
        <f t="shared" si="3"/>
        <v>2.1019999999999999</v>
      </c>
      <c r="X10" s="26">
        <v>46.86</v>
      </c>
    </row>
    <row r="11" spans="1:24" ht="18" customHeight="1" x14ac:dyDescent="0.2">
      <c r="B11" s="27" t="s">
        <v>20</v>
      </c>
      <c r="C11" s="28"/>
      <c r="D11" s="29"/>
      <c r="E11" s="28"/>
      <c r="F11" s="29"/>
      <c r="G11" s="12"/>
      <c r="H11" s="13"/>
      <c r="I11" s="12"/>
      <c r="J11" s="12"/>
      <c r="K11" s="12"/>
      <c r="L11" s="47"/>
      <c r="M11" s="18"/>
      <c r="N11" s="18"/>
      <c r="O11" s="28"/>
      <c r="P11" s="28"/>
      <c r="Q11" s="28"/>
      <c r="R11" s="28"/>
      <c r="S11" s="28"/>
      <c r="T11" s="28"/>
      <c r="U11" s="28"/>
      <c r="V11" s="18"/>
      <c r="W11" s="30"/>
      <c r="X11" s="19"/>
    </row>
    <row r="12" spans="1:24" ht="18" customHeight="1" x14ac:dyDescent="0.2">
      <c r="A12" s="44">
        <v>201</v>
      </c>
      <c r="B12" s="21" t="s">
        <v>21</v>
      </c>
      <c r="C12" s="22">
        <v>1267.79</v>
      </c>
      <c r="D12" s="23">
        <f t="shared" ref="D12:D20" si="4">C12/30</f>
        <v>42.259666666666668</v>
      </c>
      <c r="E12" s="22">
        <v>72.94</v>
      </c>
      <c r="F12" s="23">
        <f t="shared" si="1"/>
        <v>2.4313333333333333</v>
      </c>
      <c r="G12" s="22"/>
      <c r="H12" s="24"/>
      <c r="I12" s="22"/>
      <c r="J12" s="22"/>
      <c r="K12" s="15">
        <f t="shared" ref="K12:K20" si="5">C12+E12+G12+I12</f>
        <v>1340.73</v>
      </c>
      <c r="L12" s="22"/>
      <c r="M12" s="46">
        <v>14.85</v>
      </c>
      <c r="N12" s="25">
        <v>1.97</v>
      </c>
      <c r="O12" s="22">
        <v>0.22</v>
      </c>
      <c r="P12" s="22">
        <v>7.88</v>
      </c>
      <c r="Q12" s="22">
        <v>13.15</v>
      </c>
      <c r="R12" s="22">
        <v>26.31</v>
      </c>
      <c r="S12" s="22">
        <v>24.12</v>
      </c>
      <c r="T12" s="22">
        <v>116.39</v>
      </c>
      <c r="U12" s="22">
        <v>100</v>
      </c>
      <c r="V12" s="25">
        <v>63.39</v>
      </c>
      <c r="W12" s="23">
        <f t="shared" si="3"/>
        <v>2.113</v>
      </c>
      <c r="X12" s="26">
        <v>46.86</v>
      </c>
    </row>
    <row r="13" spans="1:24" ht="18" customHeight="1" x14ac:dyDescent="0.2">
      <c r="A13" s="44">
        <v>120</v>
      </c>
      <c r="B13" s="21" t="s">
        <v>48</v>
      </c>
      <c r="C13" s="22">
        <v>1267.79</v>
      </c>
      <c r="D13" s="23">
        <f t="shared" si="4"/>
        <v>42.259666666666668</v>
      </c>
      <c r="E13" s="22">
        <v>72.94</v>
      </c>
      <c r="F13" s="23">
        <f t="shared" si="1"/>
        <v>2.4313333333333333</v>
      </c>
      <c r="G13" s="22"/>
      <c r="H13" s="24"/>
      <c r="I13" s="22"/>
      <c r="J13" s="22"/>
      <c r="K13" s="15">
        <f t="shared" si="5"/>
        <v>1340.73</v>
      </c>
      <c r="L13" s="22"/>
      <c r="M13" s="46">
        <v>14.85</v>
      </c>
      <c r="N13" s="25">
        <v>1.97</v>
      </c>
      <c r="O13" s="22">
        <v>0.22</v>
      </c>
      <c r="P13" s="22">
        <v>7.88</v>
      </c>
      <c r="Q13" s="22">
        <v>13.15</v>
      </c>
      <c r="R13" s="22">
        <v>26.31</v>
      </c>
      <c r="S13" s="22">
        <v>24.12</v>
      </c>
      <c r="T13" s="22">
        <v>116.39</v>
      </c>
      <c r="U13" s="22">
        <v>100</v>
      </c>
      <c r="V13" s="25">
        <v>63.39</v>
      </c>
      <c r="W13" s="23">
        <f t="shared" si="3"/>
        <v>2.113</v>
      </c>
      <c r="X13" s="26">
        <v>46.86</v>
      </c>
    </row>
    <row r="14" spans="1:24" ht="18" customHeight="1" x14ac:dyDescent="0.2">
      <c r="A14" s="44">
        <v>207</v>
      </c>
      <c r="B14" s="21" t="s">
        <v>49</v>
      </c>
      <c r="C14" s="22">
        <v>940.98</v>
      </c>
      <c r="D14" s="23">
        <f t="shared" si="4"/>
        <v>31.366</v>
      </c>
      <c r="E14" s="22">
        <v>72.94</v>
      </c>
      <c r="F14" s="23">
        <f t="shared" si="1"/>
        <v>2.4313333333333333</v>
      </c>
      <c r="G14" s="22"/>
      <c r="H14" s="24"/>
      <c r="I14" s="22"/>
      <c r="J14" s="22"/>
      <c r="K14" s="15">
        <f t="shared" si="5"/>
        <v>1013.9200000000001</v>
      </c>
      <c r="L14" s="22"/>
      <c r="M14" s="46">
        <v>11</v>
      </c>
      <c r="N14" s="25">
        <v>1.46</v>
      </c>
      <c r="O14" s="22">
        <v>0.22</v>
      </c>
      <c r="P14" s="22">
        <v>7.88</v>
      </c>
      <c r="Q14" s="22">
        <v>13.15</v>
      </c>
      <c r="R14" s="22">
        <v>26.31</v>
      </c>
      <c r="S14" s="22">
        <v>24.12</v>
      </c>
      <c r="T14" s="22">
        <v>116.39</v>
      </c>
      <c r="U14" s="22">
        <v>100</v>
      </c>
      <c r="V14" s="25">
        <v>47.05</v>
      </c>
      <c r="W14" s="23">
        <f t="shared" si="3"/>
        <v>1.5683333333333331</v>
      </c>
      <c r="X14" s="26">
        <v>46.86</v>
      </c>
    </row>
    <row r="15" spans="1:24" ht="18" customHeight="1" x14ac:dyDescent="0.2">
      <c r="A15" s="44">
        <v>202</v>
      </c>
      <c r="B15" s="21" t="s">
        <v>22</v>
      </c>
      <c r="C15" s="22">
        <v>1134.58</v>
      </c>
      <c r="D15" s="23">
        <f t="shared" si="4"/>
        <v>37.819333333333333</v>
      </c>
      <c r="E15" s="22">
        <v>72.94</v>
      </c>
      <c r="F15" s="23">
        <f t="shared" si="1"/>
        <v>2.4313333333333333</v>
      </c>
      <c r="G15" s="22"/>
      <c r="H15" s="24"/>
      <c r="I15" s="22"/>
      <c r="J15" s="22"/>
      <c r="K15" s="15">
        <f t="shared" si="5"/>
        <v>1207.52</v>
      </c>
      <c r="L15" s="22"/>
      <c r="M15" s="46">
        <v>14.64</v>
      </c>
      <c r="N15" s="25">
        <v>1.76</v>
      </c>
      <c r="O15" s="22">
        <v>0.22</v>
      </c>
      <c r="P15" s="22">
        <v>7.88</v>
      </c>
      <c r="Q15" s="22">
        <v>13.15</v>
      </c>
      <c r="R15" s="22">
        <v>26.31</v>
      </c>
      <c r="S15" s="22">
        <v>24.12</v>
      </c>
      <c r="T15" s="22">
        <v>116.39</v>
      </c>
      <c r="U15" s="22">
        <v>100</v>
      </c>
      <c r="V15" s="25">
        <v>56.73</v>
      </c>
      <c r="W15" s="23">
        <f t="shared" si="3"/>
        <v>1.8909999999999998</v>
      </c>
      <c r="X15" s="26">
        <v>46.86</v>
      </c>
    </row>
    <row r="16" spans="1:24" ht="18" customHeight="1" x14ac:dyDescent="0.2">
      <c r="A16" s="44">
        <v>203</v>
      </c>
      <c r="B16" s="21" t="s">
        <v>23</v>
      </c>
      <c r="C16" s="22">
        <v>933.09</v>
      </c>
      <c r="D16" s="23">
        <f t="shared" si="4"/>
        <v>31.103000000000002</v>
      </c>
      <c r="E16" s="22">
        <v>72.94</v>
      </c>
      <c r="F16" s="23">
        <f t="shared" si="1"/>
        <v>2.4313333333333333</v>
      </c>
      <c r="G16" s="22"/>
      <c r="H16" s="24"/>
      <c r="I16" s="22"/>
      <c r="J16" s="22"/>
      <c r="K16" s="15">
        <f t="shared" si="5"/>
        <v>1006.03</v>
      </c>
      <c r="L16" s="22"/>
      <c r="M16" s="46">
        <v>13.27</v>
      </c>
      <c r="N16" s="25">
        <v>1.44</v>
      </c>
      <c r="O16" s="22">
        <v>0.22</v>
      </c>
      <c r="P16" s="22">
        <v>7.88</v>
      </c>
      <c r="Q16" s="22">
        <v>13.15</v>
      </c>
      <c r="R16" s="22">
        <v>26.31</v>
      </c>
      <c r="S16" s="22">
        <v>24.12</v>
      </c>
      <c r="T16" s="22">
        <v>116.39</v>
      </c>
      <c r="U16" s="22">
        <v>100</v>
      </c>
      <c r="V16" s="25">
        <v>46.65</v>
      </c>
      <c r="W16" s="23">
        <f t="shared" si="3"/>
        <v>1.5549999999999999</v>
      </c>
      <c r="X16" s="26">
        <v>46.86</v>
      </c>
    </row>
    <row r="17" spans="1:24" ht="18" customHeight="1" x14ac:dyDescent="0.2">
      <c r="A17" s="44">
        <v>204</v>
      </c>
      <c r="B17" s="21" t="s">
        <v>24</v>
      </c>
      <c r="C17" s="22">
        <v>856.82</v>
      </c>
      <c r="D17" s="23">
        <f t="shared" si="4"/>
        <v>28.56066666666667</v>
      </c>
      <c r="E17" s="22">
        <v>72.94</v>
      </c>
      <c r="F17" s="23">
        <f t="shared" si="1"/>
        <v>2.4313333333333333</v>
      </c>
      <c r="G17" s="22"/>
      <c r="H17" s="24"/>
      <c r="I17" s="22"/>
      <c r="J17" s="22"/>
      <c r="K17" s="15">
        <f t="shared" si="5"/>
        <v>929.76</v>
      </c>
      <c r="L17" s="22"/>
      <c r="M17" s="46">
        <v>9.9600000000000009</v>
      </c>
      <c r="N17" s="25">
        <v>1.32</v>
      </c>
      <c r="O17" s="22">
        <v>0.22</v>
      </c>
      <c r="P17" s="22">
        <v>7.88</v>
      </c>
      <c r="Q17" s="22">
        <v>13.15</v>
      </c>
      <c r="R17" s="22">
        <v>26.31</v>
      </c>
      <c r="S17" s="22">
        <v>24.12</v>
      </c>
      <c r="T17" s="22">
        <v>116.39</v>
      </c>
      <c r="U17" s="22">
        <v>100</v>
      </c>
      <c r="V17" s="25">
        <v>42.84</v>
      </c>
      <c r="W17" s="23">
        <f t="shared" si="3"/>
        <v>1.4280000000000002</v>
      </c>
      <c r="X17" s="26">
        <v>46.86</v>
      </c>
    </row>
    <row r="18" spans="1:24" ht="18" customHeight="1" x14ac:dyDescent="0.2">
      <c r="A18" s="44">
        <v>206</v>
      </c>
      <c r="B18" s="21" t="s">
        <v>25</v>
      </c>
      <c r="C18" s="22">
        <v>673.55</v>
      </c>
      <c r="D18" s="23">
        <f t="shared" si="4"/>
        <v>22.451666666666664</v>
      </c>
      <c r="E18" s="22">
        <v>72.94</v>
      </c>
      <c r="F18" s="23">
        <f t="shared" si="1"/>
        <v>2.4313333333333333</v>
      </c>
      <c r="G18" s="22"/>
      <c r="H18" s="24"/>
      <c r="I18" s="22"/>
      <c r="J18" s="22"/>
      <c r="K18" s="15">
        <f t="shared" si="5"/>
        <v>746.49</v>
      </c>
      <c r="L18" s="22"/>
      <c r="M18" s="46">
        <v>7.81</v>
      </c>
      <c r="N18" s="25">
        <v>1.03</v>
      </c>
      <c r="O18" s="22">
        <v>0.22</v>
      </c>
      <c r="P18" s="22">
        <v>7.88</v>
      </c>
      <c r="Q18" s="22">
        <v>13.15</v>
      </c>
      <c r="R18" s="22">
        <v>26.31</v>
      </c>
      <c r="S18" s="22">
        <v>24.12</v>
      </c>
      <c r="T18" s="22">
        <v>116.39</v>
      </c>
      <c r="U18" s="22">
        <v>100</v>
      </c>
      <c r="V18" s="25">
        <v>33.68</v>
      </c>
      <c r="W18" s="23">
        <f t="shared" si="3"/>
        <v>1.1226666666666667</v>
      </c>
      <c r="X18" s="26">
        <v>46.86</v>
      </c>
    </row>
    <row r="19" spans="1:24" ht="18" customHeight="1" x14ac:dyDescent="0.2">
      <c r="A19" s="44">
        <v>210</v>
      </c>
      <c r="B19" s="21" t="s">
        <v>26</v>
      </c>
      <c r="C19" s="22">
        <v>595.37</v>
      </c>
      <c r="D19" s="23">
        <f t="shared" si="4"/>
        <v>19.845666666666666</v>
      </c>
      <c r="E19" s="22">
        <v>72.94</v>
      </c>
      <c r="F19" s="23">
        <f t="shared" si="1"/>
        <v>2.4313333333333333</v>
      </c>
      <c r="G19" s="22"/>
      <c r="H19" s="24"/>
      <c r="I19" s="22"/>
      <c r="J19" s="22"/>
      <c r="K19" s="15">
        <f t="shared" si="5"/>
        <v>668.31</v>
      </c>
      <c r="L19" s="22"/>
      <c r="M19" s="46">
        <v>5.42</v>
      </c>
      <c r="N19" s="25">
        <v>0.92</v>
      </c>
      <c r="O19" s="22">
        <v>0.22</v>
      </c>
      <c r="P19" s="22">
        <v>7.88</v>
      </c>
      <c r="Q19" s="22">
        <v>13.15</v>
      </c>
      <c r="R19" s="22">
        <v>26.31</v>
      </c>
      <c r="S19" s="22">
        <v>24.12</v>
      </c>
      <c r="T19" s="22">
        <v>116.39</v>
      </c>
      <c r="U19" s="22">
        <v>100</v>
      </c>
      <c r="V19" s="25">
        <v>29.77</v>
      </c>
      <c r="W19" s="23">
        <f t="shared" si="3"/>
        <v>0.99233333333333329</v>
      </c>
      <c r="X19" s="26">
        <v>46.86</v>
      </c>
    </row>
    <row r="20" spans="1:24" ht="18" customHeight="1" x14ac:dyDescent="0.2">
      <c r="A20" s="44">
        <v>209</v>
      </c>
      <c r="B20" s="21" t="s">
        <v>27</v>
      </c>
      <c r="C20" s="22">
        <v>673.55</v>
      </c>
      <c r="D20" s="23">
        <f t="shared" si="4"/>
        <v>22.451666666666664</v>
      </c>
      <c r="E20" s="22">
        <v>72.94</v>
      </c>
      <c r="F20" s="23">
        <f t="shared" si="1"/>
        <v>2.4313333333333333</v>
      </c>
      <c r="G20" s="22"/>
      <c r="H20" s="24"/>
      <c r="I20" s="22"/>
      <c r="J20" s="22"/>
      <c r="K20" s="15">
        <f t="shared" si="5"/>
        <v>746.49</v>
      </c>
      <c r="L20" s="22"/>
      <c r="M20" s="46">
        <v>7.81</v>
      </c>
      <c r="N20" s="25">
        <v>1.03</v>
      </c>
      <c r="O20" s="22">
        <v>0.22</v>
      </c>
      <c r="P20" s="22">
        <v>7.88</v>
      </c>
      <c r="Q20" s="22">
        <v>13.15</v>
      </c>
      <c r="R20" s="22">
        <v>26.31</v>
      </c>
      <c r="S20" s="22">
        <v>24.12</v>
      </c>
      <c r="T20" s="22">
        <v>116.39</v>
      </c>
      <c r="U20" s="22">
        <v>100</v>
      </c>
      <c r="V20" s="25">
        <v>33.68</v>
      </c>
      <c r="W20" s="23">
        <f t="shared" si="3"/>
        <v>1.1226666666666667</v>
      </c>
      <c r="X20" s="26">
        <v>46.86</v>
      </c>
    </row>
    <row r="21" spans="1:24" ht="18" customHeight="1" x14ac:dyDescent="0.2">
      <c r="B21" s="27" t="s">
        <v>28</v>
      </c>
      <c r="C21" s="28"/>
      <c r="D21" s="29"/>
      <c r="E21" s="28"/>
      <c r="F21" s="29"/>
      <c r="G21" s="28"/>
      <c r="H21" s="29"/>
      <c r="I21" s="28"/>
      <c r="J21" s="28"/>
      <c r="K21" s="12"/>
      <c r="L21" s="47"/>
      <c r="M21" s="18"/>
      <c r="N21" s="18"/>
      <c r="O21" s="28"/>
      <c r="P21" s="28"/>
      <c r="Q21" s="28"/>
      <c r="R21" s="28"/>
      <c r="S21" s="28"/>
      <c r="T21" s="28"/>
      <c r="U21" s="28"/>
      <c r="V21" s="18"/>
      <c r="W21" s="30"/>
      <c r="X21" s="19"/>
    </row>
    <row r="22" spans="1:24" ht="18" customHeight="1" x14ac:dyDescent="0.2">
      <c r="A22" s="44">
        <v>504</v>
      </c>
      <c r="B22" s="21" t="s">
        <v>29</v>
      </c>
      <c r="C22" s="22">
        <v>1261.1500000000001</v>
      </c>
      <c r="D22" s="23">
        <f>C22/30</f>
        <v>42.038333333333334</v>
      </c>
      <c r="E22" s="22">
        <v>72.94</v>
      </c>
      <c r="F22" s="23">
        <f t="shared" si="1"/>
        <v>2.4313333333333333</v>
      </c>
      <c r="G22" s="22"/>
      <c r="H22" s="24"/>
      <c r="I22" s="22"/>
      <c r="J22" s="22"/>
      <c r="K22" s="15">
        <f>C22+E22+G22+I22</f>
        <v>1334.0900000000001</v>
      </c>
      <c r="L22" s="22"/>
      <c r="M22" s="46">
        <v>14.67</v>
      </c>
      <c r="N22" s="25">
        <v>1.97</v>
      </c>
      <c r="O22" s="22">
        <v>0.22</v>
      </c>
      <c r="P22" s="22">
        <v>7.88</v>
      </c>
      <c r="Q22" s="22">
        <v>13.15</v>
      </c>
      <c r="R22" s="22">
        <v>26.31</v>
      </c>
      <c r="S22" s="22">
        <v>24.12</v>
      </c>
      <c r="T22" s="22">
        <v>116.39</v>
      </c>
      <c r="U22" s="22">
        <v>100</v>
      </c>
      <c r="V22" s="25">
        <v>63.06</v>
      </c>
      <c r="W22" s="23">
        <f t="shared" si="3"/>
        <v>2.1019999999999999</v>
      </c>
      <c r="X22" s="26">
        <v>46.86</v>
      </c>
    </row>
    <row r="23" spans="1:24" ht="18" customHeight="1" x14ac:dyDescent="0.2">
      <c r="A23" s="44">
        <v>227</v>
      </c>
      <c r="B23" s="21" t="s">
        <v>30</v>
      </c>
      <c r="C23" s="22">
        <v>933.09</v>
      </c>
      <c r="D23" s="23">
        <f>C23/30</f>
        <v>31.103000000000002</v>
      </c>
      <c r="E23" s="22">
        <v>72.94</v>
      </c>
      <c r="F23" s="23">
        <f t="shared" si="1"/>
        <v>2.4313333333333333</v>
      </c>
      <c r="G23" s="22"/>
      <c r="H23" s="24"/>
      <c r="I23" s="22"/>
      <c r="J23" s="22"/>
      <c r="K23" s="15">
        <f>C23+E23+G23+I23</f>
        <v>1006.03</v>
      </c>
      <c r="L23" s="22"/>
      <c r="M23" s="46">
        <v>10.88</v>
      </c>
      <c r="N23" s="25">
        <v>1.44</v>
      </c>
      <c r="O23" s="22">
        <v>0.22</v>
      </c>
      <c r="P23" s="22">
        <v>7.88</v>
      </c>
      <c r="Q23" s="22">
        <v>13.15</v>
      </c>
      <c r="R23" s="22">
        <v>26.31</v>
      </c>
      <c r="S23" s="22">
        <v>24.12</v>
      </c>
      <c r="T23" s="22">
        <v>116.39</v>
      </c>
      <c r="U23" s="22">
        <v>100</v>
      </c>
      <c r="V23" s="25">
        <v>46.65</v>
      </c>
      <c r="W23" s="23">
        <f t="shared" si="3"/>
        <v>1.5549999999999999</v>
      </c>
      <c r="X23" s="26">
        <v>46.86</v>
      </c>
    </row>
    <row r="24" spans="1:24" ht="18" customHeight="1" x14ac:dyDescent="0.2">
      <c r="B24" s="27" t="s">
        <v>31</v>
      </c>
      <c r="C24" s="28"/>
      <c r="D24" s="29"/>
      <c r="E24" s="28"/>
      <c r="F24" s="29"/>
      <c r="G24" s="28"/>
      <c r="H24" s="29"/>
      <c r="I24" s="28"/>
      <c r="J24" s="28"/>
      <c r="K24" s="12"/>
      <c r="L24" s="47"/>
      <c r="M24" s="18"/>
      <c r="N24" s="18"/>
      <c r="O24" s="28"/>
      <c r="P24" s="28"/>
      <c r="Q24" s="28"/>
      <c r="R24" s="28"/>
      <c r="S24" s="28"/>
      <c r="T24" s="28"/>
      <c r="U24" s="28"/>
      <c r="V24" s="18"/>
      <c r="W24" s="30"/>
      <c r="X24" s="19"/>
    </row>
    <row r="25" spans="1:24" ht="18" customHeight="1" x14ac:dyDescent="0.2">
      <c r="A25" s="44" t="s">
        <v>52</v>
      </c>
      <c r="B25" s="21" t="s">
        <v>32</v>
      </c>
      <c r="C25" s="22">
        <v>625.28</v>
      </c>
      <c r="D25" s="23">
        <f t="shared" ref="D25:D32" si="6">C25/30</f>
        <v>20.842666666666666</v>
      </c>
      <c r="E25" s="22">
        <v>72.94</v>
      </c>
      <c r="F25" s="23">
        <f t="shared" si="1"/>
        <v>2.4313333333333333</v>
      </c>
      <c r="G25" s="22">
        <v>29.18</v>
      </c>
      <c r="H25" s="23">
        <f t="shared" ref="H25:H32" si="7">G25/30</f>
        <v>0.97266666666666668</v>
      </c>
      <c r="I25" s="22"/>
      <c r="J25" s="22"/>
      <c r="K25" s="15">
        <f t="shared" ref="K25:K32" si="8">C25+E25+G25+I25</f>
        <v>727.4</v>
      </c>
      <c r="L25" s="22"/>
      <c r="M25" s="46">
        <v>6.56</v>
      </c>
      <c r="N25" s="25">
        <v>0.94</v>
      </c>
      <c r="O25" s="22">
        <v>0.22</v>
      </c>
      <c r="P25" s="22">
        <v>7.88</v>
      </c>
      <c r="Q25" s="22">
        <v>13.15</v>
      </c>
      <c r="R25" s="22">
        <v>26.31</v>
      </c>
      <c r="S25" s="22">
        <v>24.12</v>
      </c>
      <c r="T25" s="22">
        <v>116.39</v>
      </c>
      <c r="U25" s="22">
        <v>100</v>
      </c>
      <c r="V25" s="25">
        <v>31.26</v>
      </c>
      <c r="W25" s="23">
        <f t="shared" si="3"/>
        <v>1.042</v>
      </c>
      <c r="X25" s="26">
        <v>46.86</v>
      </c>
    </row>
    <row r="26" spans="1:24" ht="18" customHeight="1" x14ac:dyDescent="0.2">
      <c r="A26" s="44">
        <v>205</v>
      </c>
      <c r="B26" s="21" t="s">
        <v>33</v>
      </c>
      <c r="C26" s="22">
        <v>625.28</v>
      </c>
      <c r="D26" s="23">
        <f t="shared" si="6"/>
        <v>20.842666666666666</v>
      </c>
      <c r="E26" s="22">
        <v>72.94</v>
      </c>
      <c r="F26" s="23">
        <f t="shared" si="1"/>
        <v>2.4313333333333333</v>
      </c>
      <c r="G26" s="22">
        <v>29.18</v>
      </c>
      <c r="H26" s="23">
        <f t="shared" si="7"/>
        <v>0.97266666666666668</v>
      </c>
      <c r="I26" s="22"/>
      <c r="J26" s="22"/>
      <c r="K26" s="15">
        <f t="shared" si="8"/>
        <v>727.4</v>
      </c>
      <c r="L26" s="22"/>
      <c r="M26" s="46">
        <v>6.56</v>
      </c>
      <c r="N26" s="25">
        <v>0.94</v>
      </c>
      <c r="O26" s="22">
        <v>0.22</v>
      </c>
      <c r="P26" s="22">
        <v>7.88</v>
      </c>
      <c r="Q26" s="22">
        <v>13.15</v>
      </c>
      <c r="R26" s="22">
        <v>26.31</v>
      </c>
      <c r="S26" s="22">
        <v>24.12</v>
      </c>
      <c r="T26" s="22">
        <v>116.39</v>
      </c>
      <c r="U26" s="22">
        <v>100</v>
      </c>
      <c r="V26" s="25">
        <v>31.26</v>
      </c>
      <c r="W26" s="23">
        <f t="shared" si="3"/>
        <v>1.042</v>
      </c>
      <c r="X26" s="26">
        <v>46.86</v>
      </c>
    </row>
    <row r="27" spans="1:24" ht="18" customHeight="1" x14ac:dyDescent="0.2">
      <c r="A27" s="44">
        <v>44</v>
      </c>
      <c r="B27" s="21" t="s">
        <v>34</v>
      </c>
      <c r="C27" s="22">
        <v>625.28</v>
      </c>
      <c r="D27" s="23">
        <f t="shared" si="6"/>
        <v>20.842666666666666</v>
      </c>
      <c r="E27" s="22">
        <v>72.94</v>
      </c>
      <c r="F27" s="23">
        <f t="shared" si="1"/>
        <v>2.4313333333333333</v>
      </c>
      <c r="G27" s="22">
        <v>29.18</v>
      </c>
      <c r="H27" s="23">
        <f t="shared" si="7"/>
        <v>0.97266666666666668</v>
      </c>
      <c r="I27" s="22"/>
      <c r="J27" s="22"/>
      <c r="K27" s="15">
        <f t="shared" si="8"/>
        <v>727.4</v>
      </c>
      <c r="L27" s="22"/>
      <c r="M27" s="46">
        <v>6.56</v>
      </c>
      <c r="N27" s="25">
        <v>0.94</v>
      </c>
      <c r="O27" s="22">
        <v>0.22</v>
      </c>
      <c r="P27" s="22">
        <v>7.88</v>
      </c>
      <c r="Q27" s="22">
        <v>13.15</v>
      </c>
      <c r="R27" s="22">
        <v>26.31</v>
      </c>
      <c r="S27" s="22">
        <v>24.12</v>
      </c>
      <c r="T27" s="22">
        <v>116.39</v>
      </c>
      <c r="U27" s="22">
        <v>100</v>
      </c>
      <c r="V27" s="25">
        <v>31.26</v>
      </c>
      <c r="W27" s="23">
        <f t="shared" si="3"/>
        <v>1.042</v>
      </c>
      <c r="X27" s="26">
        <v>46.86</v>
      </c>
    </row>
    <row r="28" spans="1:24" ht="18" customHeight="1" x14ac:dyDescent="0.2">
      <c r="A28" s="44">
        <v>48</v>
      </c>
      <c r="B28" s="21" t="s">
        <v>35</v>
      </c>
      <c r="C28" s="22">
        <v>625.28</v>
      </c>
      <c r="D28" s="23">
        <f t="shared" si="6"/>
        <v>20.842666666666666</v>
      </c>
      <c r="E28" s="22">
        <v>72.94</v>
      </c>
      <c r="F28" s="23">
        <f t="shared" si="1"/>
        <v>2.4313333333333333</v>
      </c>
      <c r="G28" s="22">
        <v>29.18</v>
      </c>
      <c r="H28" s="23">
        <f t="shared" si="7"/>
        <v>0.97266666666666668</v>
      </c>
      <c r="I28" s="22"/>
      <c r="J28" s="22"/>
      <c r="K28" s="15">
        <f t="shared" si="8"/>
        <v>727.4</v>
      </c>
      <c r="L28" s="22"/>
      <c r="M28" s="46">
        <v>6.56</v>
      </c>
      <c r="N28" s="25">
        <v>0.94</v>
      </c>
      <c r="O28" s="22">
        <v>0.22</v>
      </c>
      <c r="P28" s="22">
        <v>7.88</v>
      </c>
      <c r="Q28" s="22">
        <v>13.15</v>
      </c>
      <c r="R28" s="22">
        <v>26.31</v>
      </c>
      <c r="S28" s="22">
        <v>24.12</v>
      </c>
      <c r="T28" s="22">
        <v>116.39</v>
      </c>
      <c r="U28" s="22">
        <v>100</v>
      </c>
      <c r="V28" s="25">
        <v>31.26</v>
      </c>
      <c r="W28" s="23">
        <f t="shared" si="3"/>
        <v>1.042</v>
      </c>
      <c r="X28" s="26">
        <v>46.86</v>
      </c>
    </row>
    <row r="29" spans="1:24" ht="18" customHeight="1" x14ac:dyDescent="0.2">
      <c r="A29" s="44" t="s">
        <v>53</v>
      </c>
      <c r="B29" s="21" t="s">
        <v>36</v>
      </c>
      <c r="C29" s="22">
        <v>625.27</v>
      </c>
      <c r="D29" s="23">
        <f t="shared" si="6"/>
        <v>20.842333333333332</v>
      </c>
      <c r="E29" s="22">
        <v>72.94</v>
      </c>
      <c r="F29" s="23">
        <f t="shared" si="1"/>
        <v>2.4313333333333333</v>
      </c>
      <c r="G29" s="22">
        <v>29.18</v>
      </c>
      <c r="H29" s="23">
        <f t="shared" si="7"/>
        <v>0.97266666666666668</v>
      </c>
      <c r="I29" s="22"/>
      <c r="J29" s="22"/>
      <c r="K29" s="15">
        <f t="shared" si="8"/>
        <v>727.39</v>
      </c>
      <c r="L29" s="22"/>
      <c r="M29" s="46">
        <v>6.56</v>
      </c>
      <c r="N29" s="25">
        <v>0.94</v>
      </c>
      <c r="O29" s="22">
        <v>0.22</v>
      </c>
      <c r="P29" s="22">
        <v>7.88</v>
      </c>
      <c r="Q29" s="22">
        <v>13.15</v>
      </c>
      <c r="R29" s="22">
        <v>26.31</v>
      </c>
      <c r="S29" s="22">
        <v>24.12</v>
      </c>
      <c r="T29" s="22">
        <v>116.39</v>
      </c>
      <c r="U29" s="22">
        <v>100</v>
      </c>
      <c r="V29" s="25">
        <v>31.26</v>
      </c>
      <c r="W29" s="23">
        <f t="shared" si="3"/>
        <v>1.042</v>
      </c>
      <c r="X29" s="26">
        <v>46.86</v>
      </c>
    </row>
    <row r="30" spans="1:24" ht="18" customHeight="1" x14ac:dyDescent="0.2">
      <c r="A30" s="44">
        <v>60</v>
      </c>
      <c r="B30" s="21" t="s">
        <v>50</v>
      </c>
      <c r="C30" s="22">
        <v>625.27</v>
      </c>
      <c r="D30" s="23">
        <f t="shared" si="6"/>
        <v>20.842333333333332</v>
      </c>
      <c r="E30" s="22">
        <v>72.94</v>
      </c>
      <c r="F30" s="23">
        <f t="shared" si="1"/>
        <v>2.4313333333333333</v>
      </c>
      <c r="G30" s="22">
        <v>29.18</v>
      </c>
      <c r="H30" s="23">
        <f t="shared" si="7"/>
        <v>0.97266666666666668</v>
      </c>
      <c r="I30" s="22"/>
      <c r="J30" s="22"/>
      <c r="K30" s="15">
        <f t="shared" si="8"/>
        <v>727.39</v>
      </c>
      <c r="L30" s="22"/>
      <c r="M30" s="46">
        <v>6.56</v>
      </c>
      <c r="N30" s="25">
        <v>0.94</v>
      </c>
      <c r="O30" s="22">
        <v>0.22</v>
      </c>
      <c r="P30" s="22">
        <v>7.88</v>
      </c>
      <c r="Q30" s="22">
        <v>13.15</v>
      </c>
      <c r="R30" s="22">
        <v>26.31</v>
      </c>
      <c r="S30" s="22">
        <v>24.12</v>
      </c>
      <c r="T30" s="22">
        <v>116.39</v>
      </c>
      <c r="U30" s="22">
        <v>100</v>
      </c>
      <c r="V30" s="25">
        <v>31.26</v>
      </c>
      <c r="W30" s="23">
        <f t="shared" si="3"/>
        <v>1.042</v>
      </c>
      <c r="X30" s="26">
        <v>46.86</v>
      </c>
    </row>
    <row r="31" spans="1:24" ht="18" customHeight="1" x14ac:dyDescent="0.2">
      <c r="A31" s="44">
        <v>61</v>
      </c>
      <c r="B31" s="21" t="s">
        <v>51</v>
      </c>
      <c r="C31" s="22">
        <v>625.27</v>
      </c>
      <c r="D31" s="23">
        <f t="shared" si="6"/>
        <v>20.842333333333332</v>
      </c>
      <c r="E31" s="22">
        <v>72.94</v>
      </c>
      <c r="F31" s="23">
        <f t="shared" si="1"/>
        <v>2.4313333333333333</v>
      </c>
      <c r="G31" s="22">
        <v>29.18</v>
      </c>
      <c r="H31" s="23">
        <f t="shared" si="7"/>
        <v>0.97266666666666668</v>
      </c>
      <c r="I31" s="22"/>
      <c r="J31" s="22"/>
      <c r="K31" s="15">
        <f t="shared" si="8"/>
        <v>727.39</v>
      </c>
      <c r="L31" s="22"/>
      <c r="M31" s="46">
        <v>6.56</v>
      </c>
      <c r="N31" s="25">
        <v>0.94</v>
      </c>
      <c r="O31" s="22">
        <v>0.22</v>
      </c>
      <c r="P31" s="22">
        <v>7.88</v>
      </c>
      <c r="Q31" s="22">
        <v>13.15</v>
      </c>
      <c r="R31" s="22">
        <v>26.31</v>
      </c>
      <c r="S31" s="22">
        <v>24.12</v>
      </c>
      <c r="T31" s="22">
        <v>116.39</v>
      </c>
      <c r="U31" s="22">
        <v>100</v>
      </c>
      <c r="V31" s="25">
        <v>31.26</v>
      </c>
      <c r="W31" s="23">
        <f t="shared" si="3"/>
        <v>1.042</v>
      </c>
      <c r="X31" s="26">
        <v>46.86</v>
      </c>
    </row>
    <row r="32" spans="1:24" ht="18" customHeight="1" x14ac:dyDescent="0.2">
      <c r="A32" s="44">
        <v>46</v>
      </c>
      <c r="B32" s="21" t="s">
        <v>37</v>
      </c>
      <c r="C32" s="22">
        <v>663.44</v>
      </c>
      <c r="D32" s="23">
        <f t="shared" si="6"/>
        <v>22.114666666666668</v>
      </c>
      <c r="E32" s="22">
        <v>72.94</v>
      </c>
      <c r="F32" s="23">
        <f t="shared" si="1"/>
        <v>2.4313333333333333</v>
      </c>
      <c r="G32" s="22">
        <v>29.18</v>
      </c>
      <c r="H32" s="23">
        <f t="shared" si="7"/>
        <v>0.97266666666666668</v>
      </c>
      <c r="I32" s="22">
        <v>76.63</v>
      </c>
      <c r="J32" s="23">
        <f>I32/30</f>
        <v>2.5543333333333331</v>
      </c>
      <c r="K32" s="15">
        <f t="shared" si="8"/>
        <v>842.19</v>
      </c>
      <c r="L32" s="22"/>
      <c r="M32" s="46">
        <v>7.58</v>
      </c>
      <c r="N32" s="25">
        <v>1.01</v>
      </c>
      <c r="O32" s="22">
        <v>0.22</v>
      </c>
      <c r="P32" s="22">
        <v>7.88</v>
      </c>
      <c r="Q32" s="22">
        <v>13.15</v>
      </c>
      <c r="R32" s="22">
        <v>26.31</v>
      </c>
      <c r="S32" s="22">
        <v>24.12</v>
      </c>
      <c r="T32" s="22">
        <v>116.39</v>
      </c>
      <c r="U32" s="22">
        <v>100</v>
      </c>
      <c r="V32" s="25">
        <v>33.17</v>
      </c>
      <c r="W32" s="23">
        <f t="shared" si="3"/>
        <v>1.1056666666666668</v>
      </c>
      <c r="X32" s="26">
        <v>46.86</v>
      </c>
    </row>
    <row r="33" spans="1:24" ht="18" customHeight="1" x14ac:dyDescent="0.2">
      <c r="B33" s="27" t="s">
        <v>38</v>
      </c>
      <c r="C33" s="28"/>
      <c r="D33" s="29"/>
      <c r="E33" s="28"/>
      <c r="F33" s="29"/>
      <c r="G33" s="28"/>
      <c r="H33" s="29"/>
      <c r="I33" s="28"/>
      <c r="J33" s="28"/>
      <c r="K33" s="45"/>
      <c r="L33" s="47"/>
      <c r="M33" s="18"/>
      <c r="N33" s="18"/>
      <c r="O33" s="28"/>
      <c r="P33" s="28"/>
      <c r="Q33" s="28"/>
      <c r="R33" s="28"/>
      <c r="S33" s="28"/>
      <c r="T33" s="28"/>
      <c r="U33" s="28"/>
      <c r="V33" s="18"/>
      <c r="W33" s="30"/>
      <c r="X33" s="19"/>
    </row>
    <row r="34" spans="1:24" ht="18" customHeight="1" x14ac:dyDescent="0.2">
      <c r="A34" s="44">
        <v>51</v>
      </c>
      <c r="B34" s="21" t="s">
        <v>39</v>
      </c>
      <c r="C34" s="22">
        <v>630.80999999999995</v>
      </c>
      <c r="D34" s="23">
        <f>C34/30</f>
        <v>21.026999999999997</v>
      </c>
      <c r="E34" s="22">
        <v>72.94</v>
      </c>
      <c r="F34" s="23">
        <f>E34/30</f>
        <v>2.4313333333333333</v>
      </c>
      <c r="G34" s="22"/>
      <c r="H34" s="24"/>
      <c r="I34" s="22"/>
      <c r="J34" s="22"/>
      <c r="K34" s="15">
        <f>C34+E34+G34+I34</f>
        <v>703.75</v>
      </c>
      <c r="L34" s="22"/>
      <c r="M34" s="46">
        <v>6.56</v>
      </c>
      <c r="N34" s="25">
        <v>0.97</v>
      </c>
      <c r="O34" s="22">
        <v>0.22</v>
      </c>
      <c r="P34" s="22">
        <v>7.88</v>
      </c>
      <c r="Q34" s="22">
        <v>13.15</v>
      </c>
      <c r="R34" s="22">
        <v>26.31</v>
      </c>
      <c r="S34" s="22">
        <v>24.12</v>
      </c>
      <c r="T34" s="22">
        <v>116.39</v>
      </c>
      <c r="U34" s="22">
        <v>100</v>
      </c>
      <c r="V34" s="25">
        <v>31.54</v>
      </c>
      <c r="W34" s="23">
        <f>V34/30</f>
        <v>1.0513333333333332</v>
      </c>
      <c r="X34" s="26">
        <v>46.86</v>
      </c>
    </row>
    <row r="35" spans="1:24" ht="18" customHeight="1" x14ac:dyDescent="0.2">
      <c r="A35" s="44">
        <v>903</v>
      </c>
      <c r="B35" s="21" t="s">
        <v>40</v>
      </c>
      <c r="C35" s="22">
        <v>595.37</v>
      </c>
      <c r="D35" s="23">
        <f>C35/30</f>
        <v>19.845666666666666</v>
      </c>
      <c r="E35" s="22">
        <v>72.94</v>
      </c>
      <c r="F35" s="23">
        <f>E35/30</f>
        <v>2.4313333333333333</v>
      </c>
      <c r="G35" s="22"/>
      <c r="H35" s="24"/>
      <c r="I35" s="22"/>
      <c r="J35" s="22"/>
      <c r="K35" s="15">
        <f>C35+E35+G35+I35</f>
        <v>668.31</v>
      </c>
      <c r="L35" s="22"/>
      <c r="M35" s="46">
        <v>6.56</v>
      </c>
      <c r="N35" s="25">
        <v>0.92</v>
      </c>
      <c r="O35" s="22">
        <v>0.22</v>
      </c>
      <c r="P35" s="22">
        <v>7.88</v>
      </c>
      <c r="Q35" s="22">
        <v>13.15</v>
      </c>
      <c r="R35" s="22">
        <v>26.31</v>
      </c>
      <c r="S35" s="22">
        <v>24.12</v>
      </c>
      <c r="T35" s="22">
        <v>116.39</v>
      </c>
      <c r="U35" s="22">
        <v>100</v>
      </c>
      <c r="V35" s="25">
        <v>29.77</v>
      </c>
      <c r="W35" s="23">
        <f>V35/30</f>
        <v>0.99233333333333329</v>
      </c>
      <c r="X35" s="26">
        <v>46.86</v>
      </c>
    </row>
    <row r="36" spans="1:24" x14ac:dyDescent="0.2">
      <c r="B36" s="32"/>
      <c r="C36" s="33"/>
      <c r="D36" s="34"/>
      <c r="E36" s="33"/>
      <c r="F36" s="34"/>
      <c r="G36" s="33"/>
      <c r="H36" s="34"/>
      <c r="I36" s="33"/>
      <c r="J36" s="33"/>
      <c r="K36" s="33"/>
      <c r="L36" s="33"/>
      <c r="M36" s="35"/>
      <c r="N36" s="35"/>
      <c r="O36" s="33"/>
      <c r="P36" s="33"/>
      <c r="Q36" s="33"/>
      <c r="R36" s="33"/>
      <c r="S36" s="33"/>
      <c r="T36" s="33"/>
      <c r="U36" s="33"/>
      <c r="V36" s="28"/>
      <c r="W36" s="29"/>
      <c r="X36" s="36"/>
    </row>
    <row r="37" spans="1:24" ht="8.25" customHeight="1" x14ac:dyDescent="0.2">
      <c r="M37" s="39"/>
      <c r="N37" s="39"/>
    </row>
    <row r="38" spans="1:24" ht="23.25" customHeight="1" x14ac:dyDescent="0.2">
      <c r="B38" s="40" t="s">
        <v>59</v>
      </c>
      <c r="M38" s="39"/>
      <c r="N38" s="39"/>
    </row>
    <row r="39" spans="1:24" ht="15" customHeight="1" x14ac:dyDescent="0.2">
      <c r="M39" s="39"/>
      <c r="N39" s="39"/>
    </row>
    <row r="40" spans="1:24" ht="15" customHeight="1" x14ac:dyDescent="0.2">
      <c r="M40" s="39"/>
      <c r="N40" s="39"/>
    </row>
    <row r="41" spans="1:24" ht="15" customHeight="1" x14ac:dyDescent="0.2">
      <c r="M41" s="39"/>
      <c r="N41" s="39"/>
    </row>
    <row r="42" spans="1:24" ht="15" customHeight="1" x14ac:dyDescent="0.2">
      <c r="M42" s="39"/>
      <c r="N42" s="39"/>
    </row>
    <row r="43" spans="1:24" x14ac:dyDescent="0.2">
      <c r="M43" s="39"/>
      <c r="N43" s="39"/>
    </row>
    <row r="44" spans="1:24" ht="21" customHeight="1" x14ac:dyDescent="0.2"/>
  </sheetData>
  <sheetProtection password="CC0B" sheet="1"/>
  <phoneticPr fontId="0" type="noConversion"/>
  <printOptions horizontalCentered="1"/>
  <pageMargins left="0.19685039370078741" right="0.19685039370078741" top="0.94488188976377963" bottom="0.15748031496062992" header="0.43307086614173229" footer="0"/>
  <pageSetup paperSize="9" scale="77" orientation="landscape" r:id="rId1"/>
  <headerFooter alignWithMargins="0">
    <oddHeader xml:space="preserve">&amp;C&amp;"Times New Roman,Negrita"&amp;14&amp;ETABLA SALARIAL CONVENIO SERVICIOS SECURITAS, S.A.  (2008)&amp;10
</oddHeader>
  </headerFooter>
  <colBreaks count="1" manualBreakCount="1">
    <brk id="2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44"/>
  <sheetViews>
    <sheetView zoomScale="90" workbookViewId="0">
      <pane xSplit="2" ySplit="1" topLeftCell="C8" activePane="bottomRight" state="frozen"/>
      <selection pane="topRight" activeCell="C1" sqref="C1"/>
      <selection pane="bottomLeft" activeCell="A2" sqref="A2"/>
      <selection pane="bottomRight" activeCell="R22" sqref="R22"/>
    </sheetView>
  </sheetViews>
  <sheetFormatPr baseColWidth="10" defaultColWidth="10.140625" defaultRowHeight="12.75" x14ac:dyDescent="0.2"/>
  <cols>
    <col min="1" max="1" width="5.140625" bestFit="1" customWidth="1"/>
    <col min="2" max="2" width="25.85546875" customWidth="1"/>
    <col min="3" max="3" width="7.85546875" customWidth="1"/>
    <col min="4" max="4" width="8.85546875" hidden="1" customWidth="1"/>
    <col min="5" max="5" width="7.85546875" customWidth="1"/>
    <col min="6" max="6" width="9.42578125" hidden="1" customWidth="1"/>
    <col min="7" max="7" width="6.5703125" customWidth="1"/>
    <col min="8" max="8" width="7.85546875" hidden="1" customWidth="1"/>
    <col min="9" max="9" width="7.140625" customWidth="1"/>
    <col min="10" max="10" width="7.85546875" hidden="1" customWidth="1"/>
    <col min="11" max="11" width="7.85546875" customWidth="1"/>
    <col min="12" max="12" width="0.5703125" customWidth="1"/>
    <col min="13" max="13" width="7.85546875" bestFit="1" customWidth="1"/>
    <col min="14" max="14" width="6.85546875" customWidth="1"/>
    <col min="15" max="15" width="5.140625" customWidth="1"/>
    <col min="16" max="16" width="6.5703125" customWidth="1"/>
    <col min="17" max="17" width="7" customWidth="1"/>
    <col min="18" max="18" width="7.140625" customWidth="1"/>
    <col min="19" max="19" width="11.85546875" customWidth="1"/>
    <col min="20" max="20" width="11" customWidth="1"/>
    <col min="21" max="21" width="10" customWidth="1"/>
    <col min="22" max="22" width="7.140625" customWidth="1"/>
    <col min="23" max="23" width="9.140625" customWidth="1"/>
    <col min="24" max="24" width="8.85546875" hidden="1" customWidth="1"/>
    <col min="25" max="25" width="10" customWidth="1"/>
    <col min="26" max="26" width="1.140625" customWidth="1"/>
    <col min="27" max="27" width="6.42578125" customWidth="1"/>
    <col min="28" max="28" width="27.85546875" customWidth="1"/>
    <col min="29" max="29" width="7.85546875" bestFit="1" customWidth="1"/>
    <col min="30" max="30" width="7.85546875" customWidth="1"/>
    <col min="31" max="31" width="8.85546875" bestFit="1" customWidth="1"/>
    <col min="32" max="32" width="6.85546875" bestFit="1" customWidth="1"/>
    <col min="33" max="33" width="10.5703125" customWidth="1"/>
    <col min="34" max="34" width="7.85546875" bestFit="1" customWidth="1"/>
    <col min="35" max="35" width="8" bestFit="1" customWidth="1"/>
    <col min="36" max="36" width="9" customWidth="1"/>
    <col min="37" max="37" width="8.140625" customWidth="1"/>
    <col min="38" max="38" width="9" customWidth="1"/>
  </cols>
  <sheetData>
    <row r="1" spans="1:25" s="40" customFormat="1" ht="32.25" customHeight="1" x14ac:dyDescent="0.2">
      <c r="A1" s="48" t="s">
        <v>0</v>
      </c>
      <c r="B1" s="49" t="s">
        <v>1</v>
      </c>
      <c r="C1" s="41" t="s">
        <v>2</v>
      </c>
      <c r="D1" s="50">
        <v>110021</v>
      </c>
      <c r="E1" s="41" t="s">
        <v>3</v>
      </c>
      <c r="F1" s="51">
        <v>15220</v>
      </c>
      <c r="G1" s="41" t="s">
        <v>4</v>
      </c>
      <c r="H1" s="51">
        <v>116220</v>
      </c>
      <c r="I1" s="41" t="s">
        <v>5</v>
      </c>
      <c r="J1" s="50">
        <v>117520</v>
      </c>
      <c r="K1" s="52" t="s">
        <v>6</v>
      </c>
      <c r="L1" s="41"/>
      <c r="M1" s="53" t="s">
        <v>7</v>
      </c>
      <c r="N1" s="41" t="s">
        <v>8</v>
      </c>
      <c r="O1" s="41" t="s">
        <v>9</v>
      </c>
      <c r="P1" s="41" t="s">
        <v>54</v>
      </c>
      <c r="Q1" s="41" t="s">
        <v>41</v>
      </c>
      <c r="R1" s="41" t="s">
        <v>42</v>
      </c>
      <c r="S1" s="41" t="s">
        <v>43</v>
      </c>
      <c r="T1" s="41" t="s">
        <v>44</v>
      </c>
      <c r="U1" s="41" t="s">
        <v>10</v>
      </c>
      <c r="V1" s="41" t="s">
        <v>45</v>
      </c>
      <c r="W1" s="41" t="s">
        <v>11</v>
      </c>
      <c r="X1" s="54">
        <v>110900</v>
      </c>
      <c r="Y1" s="55" t="s">
        <v>12</v>
      </c>
    </row>
    <row r="2" spans="1:25" ht="18" customHeight="1" x14ac:dyDescent="0.2">
      <c r="A2" s="43"/>
      <c r="B2" s="11" t="s">
        <v>13</v>
      </c>
      <c r="C2" s="12"/>
      <c r="D2" s="13"/>
      <c r="E2" s="12"/>
      <c r="F2" s="13"/>
      <c r="G2" s="12"/>
      <c r="H2" s="13"/>
      <c r="I2" s="12"/>
      <c r="J2" s="12"/>
      <c r="K2" s="12"/>
      <c r="L2" s="22"/>
      <c r="M2" s="12"/>
      <c r="N2" s="12"/>
      <c r="O2" s="16"/>
      <c r="P2" s="16"/>
      <c r="Q2" s="16"/>
      <c r="R2" s="16"/>
      <c r="S2" s="16"/>
      <c r="T2" s="16"/>
      <c r="U2" s="16"/>
      <c r="V2" s="16"/>
      <c r="W2" s="17"/>
      <c r="X2" s="18"/>
      <c r="Y2" s="19"/>
    </row>
    <row r="3" spans="1:25" ht="18" customHeight="1" x14ac:dyDescent="0.2">
      <c r="A3" s="44">
        <v>102</v>
      </c>
      <c r="B3" s="21" t="s">
        <v>14</v>
      </c>
      <c r="C3" s="22">
        <f>('SERVISECURITAS 2008'!C3*1.4/100)+'SERVISECURITAS 2008'!C3</f>
        <v>1489.1502599999999</v>
      </c>
      <c r="D3" s="23">
        <f t="shared" ref="D3:D10" si="0">C3/30</f>
        <v>49.638341999999994</v>
      </c>
      <c r="E3" s="22">
        <f>('SERVISECURITAS 2008'!E3*1.4/100)+'SERVISECURITAS 2008'!E3</f>
        <v>73.961159999999992</v>
      </c>
      <c r="F3" s="23">
        <f t="shared" ref="F3:F10" si="1">E3/30</f>
        <v>2.4653719999999999</v>
      </c>
      <c r="G3" s="22"/>
      <c r="H3" s="24"/>
      <c r="I3" s="22"/>
      <c r="J3" s="22"/>
      <c r="K3" s="15">
        <f t="shared" ref="K3:K8" si="2">+C3+E3+G3+I3</f>
        <v>1563.11142</v>
      </c>
      <c r="L3" s="22"/>
      <c r="M3" s="46"/>
      <c r="N3" s="22"/>
      <c r="O3" s="22">
        <f>('SERVISECURITAS 2008'!O3*1.4/100)+'SERVISECURITAS 2008'!O3</f>
        <v>0.22308</v>
      </c>
      <c r="P3" s="22"/>
      <c r="Q3" s="22">
        <f>('SERVISECURITAS 2008'!P3*1.4/100)+'SERVISECURITAS 2008'!P3</f>
        <v>7.9903199999999996</v>
      </c>
      <c r="R3" s="22">
        <f>('SERVISECURITAS 2008'!Q3*1.4/100)+'SERVISECURITAS 2008'!Q3</f>
        <v>13.334100000000001</v>
      </c>
      <c r="S3" s="22">
        <f>('SERVISECURITAS 2008'!R3*1.4/100)+'SERVISECURITAS 2008'!R3</f>
        <v>26.678339999999999</v>
      </c>
      <c r="T3" s="22">
        <f>('SERVISECURITAS 2008'!S3*1.4/100)+'SERVISECURITAS 2008'!S3</f>
        <v>24.45768</v>
      </c>
      <c r="U3" s="22">
        <f>('SERVISECURITAS 2008'!T3*1.4/100)+'SERVISECURITAS 2008'!T3</f>
        <v>118.01946</v>
      </c>
      <c r="V3" s="22">
        <v>101.4</v>
      </c>
      <c r="W3" s="22">
        <f>('SERVISECURITAS 2008'!V3*1.4/100)+'SERVISECURITAS 2008'!V3</f>
        <v>74.458020000000005</v>
      </c>
      <c r="X3" s="23">
        <f t="shared" ref="X3:X10" si="3">W3/30</f>
        <v>2.4819340000000003</v>
      </c>
      <c r="Y3" s="22">
        <f>('SERVISECURITAS 2008'!X3*1.4/100)+'SERVISECURITAS 2008'!X3</f>
        <v>47.516039999999997</v>
      </c>
    </row>
    <row r="4" spans="1:25" ht="18" customHeight="1" x14ac:dyDescent="0.2">
      <c r="A4" s="44">
        <v>105</v>
      </c>
      <c r="B4" s="21" t="s">
        <v>15</v>
      </c>
      <c r="C4" s="22">
        <f>('SERVISECURITAS 2008'!C4*1.4/100)+'SERVISECURITAS 2008'!C4</f>
        <v>1415.3006399999999</v>
      </c>
      <c r="D4" s="23">
        <f t="shared" si="0"/>
        <v>47.176687999999999</v>
      </c>
      <c r="E4" s="22">
        <f>('SERVISECURITAS 2008'!E4*1.4/100)+'SERVISECURITAS 2008'!E4</f>
        <v>73.961159999999992</v>
      </c>
      <c r="F4" s="23">
        <f t="shared" si="1"/>
        <v>2.4653719999999999</v>
      </c>
      <c r="G4" s="22"/>
      <c r="H4" s="24"/>
      <c r="I4" s="22"/>
      <c r="J4" s="22"/>
      <c r="K4" s="15">
        <f t="shared" si="2"/>
        <v>1489.2618</v>
      </c>
      <c r="L4" s="22"/>
      <c r="M4" s="46"/>
      <c r="N4" s="22"/>
      <c r="O4" s="22">
        <f>('SERVISECURITAS 2008'!O4*1.4/100)+'SERVISECURITAS 2008'!O4</f>
        <v>0.22308</v>
      </c>
      <c r="P4" s="22"/>
      <c r="Q4" s="22">
        <f>('SERVISECURITAS 2008'!P4*1.4/100)+'SERVISECURITAS 2008'!P4</f>
        <v>7.9903199999999996</v>
      </c>
      <c r="R4" s="22">
        <f>('SERVISECURITAS 2008'!Q4*1.4/100)+'SERVISECURITAS 2008'!Q4</f>
        <v>13.334100000000001</v>
      </c>
      <c r="S4" s="22">
        <f>('SERVISECURITAS 2008'!R4*1.4/100)+'SERVISECURITAS 2008'!R4</f>
        <v>26.678339999999999</v>
      </c>
      <c r="T4" s="22">
        <f>('SERVISECURITAS 2008'!S4*1.4/100)+'SERVISECURITAS 2008'!S4</f>
        <v>24.45768</v>
      </c>
      <c r="U4" s="22">
        <f>('SERVISECURITAS 2008'!T4*1.4/100)+'SERVISECURITAS 2008'!T4</f>
        <v>118.01946</v>
      </c>
      <c r="V4" s="22">
        <v>101.4</v>
      </c>
      <c r="W4" s="22">
        <f>('SERVISECURITAS 2008'!V4*1.4/100)+'SERVISECURITAS 2008'!V4</f>
        <v>70.767060000000001</v>
      </c>
      <c r="X4" s="23">
        <f t="shared" si="3"/>
        <v>2.3589020000000001</v>
      </c>
      <c r="Y4" s="22">
        <f>('SERVISECURITAS 2008'!X4*1.4/100)+'SERVISECURITAS 2008'!X4</f>
        <v>47.516039999999997</v>
      </c>
    </row>
    <row r="5" spans="1:25" ht="18" customHeight="1" x14ac:dyDescent="0.2">
      <c r="A5" s="44">
        <v>109</v>
      </c>
      <c r="B5" s="21" t="s">
        <v>16</v>
      </c>
      <c r="C5" s="22">
        <f>('SERVISECURITAS 2008'!C5*1.4/100)+'SERVISECURITAS 2008'!C5</f>
        <v>1415.3006399999999</v>
      </c>
      <c r="D5" s="23">
        <f t="shared" si="0"/>
        <v>47.176687999999999</v>
      </c>
      <c r="E5" s="22">
        <f>('SERVISECURITAS 2008'!E5*1.4/100)+'SERVISECURITAS 2008'!E5</f>
        <v>73.961159999999992</v>
      </c>
      <c r="F5" s="23">
        <f t="shared" si="1"/>
        <v>2.4653719999999999</v>
      </c>
      <c r="G5" s="22"/>
      <c r="H5" s="24"/>
      <c r="I5" s="22"/>
      <c r="J5" s="22"/>
      <c r="K5" s="15">
        <f t="shared" si="2"/>
        <v>1489.2618</v>
      </c>
      <c r="L5" s="22"/>
      <c r="M5" s="46"/>
      <c r="N5" s="22"/>
      <c r="O5" s="22">
        <f>('SERVISECURITAS 2008'!O5*1.4/100)+'SERVISECURITAS 2008'!O5</f>
        <v>0.22308</v>
      </c>
      <c r="P5" s="22"/>
      <c r="Q5" s="22">
        <f>('SERVISECURITAS 2008'!P5*1.4/100)+'SERVISECURITAS 2008'!P5</f>
        <v>7.9903199999999996</v>
      </c>
      <c r="R5" s="22">
        <f>('SERVISECURITAS 2008'!Q5*1.4/100)+'SERVISECURITAS 2008'!Q5</f>
        <v>13.334100000000001</v>
      </c>
      <c r="S5" s="22">
        <f>('SERVISECURITAS 2008'!R5*1.4/100)+'SERVISECURITAS 2008'!R5</f>
        <v>26.678339999999999</v>
      </c>
      <c r="T5" s="22">
        <f>('SERVISECURITAS 2008'!S5*1.4/100)+'SERVISECURITAS 2008'!S5</f>
        <v>24.45768</v>
      </c>
      <c r="U5" s="22">
        <f>('SERVISECURITAS 2008'!T5*1.4/100)+'SERVISECURITAS 2008'!T5</f>
        <v>118.01946</v>
      </c>
      <c r="V5" s="22">
        <v>101.4</v>
      </c>
      <c r="W5" s="22">
        <f>('SERVISECURITAS 2008'!V5*1.4/100)+'SERVISECURITAS 2008'!V5</f>
        <v>70.767060000000001</v>
      </c>
      <c r="X5" s="23">
        <f t="shared" si="3"/>
        <v>2.3589020000000001</v>
      </c>
      <c r="Y5" s="22">
        <f>('SERVISECURITAS 2008'!X5*1.4/100)+'SERVISECURITAS 2008'!X5</f>
        <v>47.516039999999997</v>
      </c>
    </row>
    <row r="6" spans="1:25" ht="18" customHeight="1" x14ac:dyDescent="0.2">
      <c r="A6" s="44">
        <v>103</v>
      </c>
      <c r="B6" s="21" t="s">
        <v>46</v>
      </c>
      <c r="C6" s="22">
        <f>('SERVISECURITAS 2008'!C6*1.4/100)+'SERVISECURITAS 2008'!C6</f>
        <v>1415.3006399999999</v>
      </c>
      <c r="D6" s="23">
        <f t="shared" si="0"/>
        <v>47.176687999999999</v>
      </c>
      <c r="E6" s="22">
        <f>('SERVISECURITAS 2008'!E6*1.4/100)+'SERVISECURITAS 2008'!E6</f>
        <v>73.961159999999992</v>
      </c>
      <c r="F6" s="23">
        <f t="shared" si="1"/>
        <v>2.4653719999999999</v>
      </c>
      <c r="G6" s="22"/>
      <c r="H6" s="24"/>
      <c r="I6" s="22"/>
      <c r="J6" s="22"/>
      <c r="K6" s="15">
        <f t="shared" si="2"/>
        <v>1489.2618</v>
      </c>
      <c r="L6" s="22"/>
      <c r="M6" s="46"/>
      <c r="N6" s="22"/>
      <c r="O6" s="22">
        <f>('SERVISECURITAS 2008'!O6*1.4/100)+'SERVISECURITAS 2008'!O6</f>
        <v>0.22308</v>
      </c>
      <c r="P6" s="22"/>
      <c r="Q6" s="22">
        <f>('SERVISECURITAS 2008'!P6*1.4/100)+'SERVISECURITAS 2008'!P6</f>
        <v>7.9903199999999996</v>
      </c>
      <c r="R6" s="22">
        <f>('SERVISECURITAS 2008'!Q6*1.4/100)+'SERVISECURITAS 2008'!Q6</f>
        <v>13.334100000000001</v>
      </c>
      <c r="S6" s="22">
        <f>('SERVISECURITAS 2008'!R6*1.4/100)+'SERVISECURITAS 2008'!R6</f>
        <v>26.678339999999999</v>
      </c>
      <c r="T6" s="22">
        <f>('SERVISECURITAS 2008'!S6*1.4/100)+'SERVISECURITAS 2008'!S6</f>
        <v>24.45768</v>
      </c>
      <c r="U6" s="22">
        <f>('SERVISECURITAS 2008'!T6*1.4/100)+'SERVISECURITAS 2008'!T6</f>
        <v>118.01946</v>
      </c>
      <c r="V6" s="22">
        <v>101.4</v>
      </c>
      <c r="W6" s="22">
        <f>('SERVISECURITAS 2008'!V6*1.4/100)+'SERVISECURITAS 2008'!V6</f>
        <v>70.767060000000001</v>
      </c>
      <c r="X6" s="23">
        <f t="shared" si="3"/>
        <v>2.3589020000000001</v>
      </c>
      <c r="Y6" s="22">
        <f>('SERVISECURITAS 2008'!X6*1.4/100)+'SERVISECURITAS 2008'!X6</f>
        <v>47.516039999999997</v>
      </c>
    </row>
    <row r="7" spans="1:25" ht="18" customHeight="1" x14ac:dyDescent="0.2">
      <c r="A7" s="44">
        <v>122</v>
      </c>
      <c r="B7" s="21" t="s">
        <v>17</v>
      </c>
      <c r="C7" s="22">
        <f>('SERVISECURITAS 2008'!C7*1.4/100)+'SERVISECURITAS 2008'!C7</f>
        <v>1345.2940800000001</v>
      </c>
      <c r="D7" s="23">
        <f t="shared" si="0"/>
        <v>44.843136000000001</v>
      </c>
      <c r="E7" s="22">
        <f>('SERVISECURITAS 2008'!E7*1.4/100)+'SERVISECURITAS 2008'!E7</f>
        <v>73.961159999999992</v>
      </c>
      <c r="F7" s="23">
        <f t="shared" si="1"/>
        <v>2.4653719999999999</v>
      </c>
      <c r="G7" s="22"/>
      <c r="H7" s="24"/>
      <c r="I7" s="22"/>
      <c r="J7" s="22"/>
      <c r="K7" s="15">
        <f t="shared" si="2"/>
        <v>1419.2552400000002</v>
      </c>
      <c r="L7" s="22"/>
      <c r="M7" s="46"/>
      <c r="N7" s="22"/>
      <c r="O7" s="22">
        <f>('SERVISECURITAS 2008'!O7*1.4/100)+'SERVISECURITAS 2008'!O7</f>
        <v>0.22308</v>
      </c>
      <c r="P7" s="22"/>
      <c r="Q7" s="22">
        <f>('SERVISECURITAS 2008'!P7*1.4/100)+'SERVISECURITAS 2008'!P7</f>
        <v>7.9903199999999996</v>
      </c>
      <c r="R7" s="22">
        <f>('SERVISECURITAS 2008'!Q7*1.4/100)+'SERVISECURITAS 2008'!Q7</f>
        <v>13.334100000000001</v>
      </c>
      <c r="S7" s="22">
        <f>('SERVISECURITAS 2008'!R7*1.4/100)+'SERVISECURITAS 2008'!R7</f>
        <v>26.678339999999999</v>
      </c>
      <c r="T7" s="22">
        <f>('SERVISECURITAS 2008'!S7*1.4/100)+'SERVISECURITAS 2008'!S7</f>
        <v>24.45768</v>
      </c>
      <c r="U7" s="22">
        <f>('SERVISECURITAS 2008'!T7*1.4/100)+'SERVISECURITAS 2008'!T7</f>
        <v>118.01946</v>
      </c>
      <c r="V7" s="22">
        <v>101.4</v>
      </c>
      <c r="W7" s="22">
        <v>67.260000000000005</v>
      </c>
      <c r="X7" s="23">
        <f t="shared" si="3"/>
        <v>2.242</v>
      </c>
      <c r="Y7" s="22">
        <f>('SERVISECURITAS 2008'!X7*1.4/100)+'SERVISECURITAS 2008'!X7</f>
        <v>47.516039999999997</v>
      </c>
    </row>
    <row r="8" spans="1:25" ht="18" customHeight="1" x14ac:dyDescent="0.2">
      <c r="A8" s="44">
        <v>126</v>
      </c>
      <c r="B8" s="21" t="s">
        <v>47</v>
      </c>
      <c r="C8" s="22">
        <f>('SERVISECURITAS 2008'!C8*1.4/100)+'SERVISECURITAS 2008'!C8</f>
        <v>1345.2940800000001</v>
      </c>
      <c r="D8" s="23">
        <f t="shared" si="0"/>
        <v>44.843136000000001</v>
      </c>
      <c r="E8" s="22">
        <f>('SERVISECURITAS 2008'!E8*1.4/100)+'SERVISECURITAS 2008'!E8</f>
        <v>73.961159999999992</v>
      </c>
      <c r="F8" s="23">
        <f t="shared" si="1"/>
        <v>2.4653719999999999</v>
      </c>
      <c r="G8" s="22"/>
      <c r="H8" s="24"/>
      <c r="I8" s="22"/>
      <c r="J8" s="22"/>
      <c r="K8" s="15">
        <f t="shared" si="2"/>
        <v>1419.2552400000002</v>
      </c>
      <c r="L8" s="22"/>
      <c r="M8" s="46"/>
      <c r="N8" s="22"/>
      <c r="O8" s="22">
        <f>('SERVISECURITAS 2008'!O8*1.4/100)+'SERVISECURITAS 2008'!O8</f>
        <v>0.22308</v>
      </c>
      <c r="P8" s="22"/>
      <c r="Q8" s="22">
        <f>('SERVISECURITAS 2008'!P8*1.4/100)+'SERVISECURITAS 2008'!P8</f>
        <v>7.9903199999999996</v>
      </c>
      <c r="R8" s="22">
        <f>('SERVISECURITAS 2008'!Q8*1.4/100)+'SERVISECURITAS 2008'!Q8</f>
        <v>13.334100000000001</v>
      </c>
      <c r="S8" s="22">
        <f>('SERVISECURITAS 2008'!R8*1.4/100)+'SERVISECURITAS 2008'!R8</f>
        <v>26.678339999999999</v>
      </c>
      <c r="T8" s="22">
        <f>('SERVISECURITAS 2008'!S8*1.4/100)+'SERVISECURITAS 2008'!S8</f>
        <v>24.45768</v>
      </c>
      <c r="U8" s="22">
        <f>('SERVISECURITAS 2008'!T8*1.4/100)+'SERVISECURITAS 2008'!T8</f>
        <v>118.01946</v>
      </c>
      <c r="V8" s="22">
        <v>101.4</v>
      </c>
      <c r="W8" s="22">
        <v>67.260000000000005</v>
      </c>
      <c r="X8" s="23">
        <f t="shared" si="3"/>
        <v>2.242</v>
      </c>
      <c r="Y8" s="22">
        <f>('SERVISECURITAS 2008'!X8*1.4/100)+'SERVISECURITAS 2008'!X8</f>
        <v>47.516039999999997</v>
      </c>
    </row>
    <row r="9" spans="1:25" ht="18" customHeight="1" x14ac:dyDescent="0.2">
      <c r="A9" s="44">
        <v>113</v>
      </c>
      <c r="B9" s="21" t="s">
        <v>18</v>
      </c>
      <c r="C9" s="22">
        <f>('SERVISECURITAS 2008'!C9*1.4/100)+'SERVISECURITAS 2008'!C9</f>
        <v>1345.2940800000001</v>
      </c>
      <c r="D9" s="23">
        <f t="shared" si="0"/>
        <v>44.843136000000001</v>
      </c>
      <c r="E9" s="22">
        <f>('SERVISECURITAS 2008'!E9*1.4/100)+'SERVISECURITAS 2008'!E9</f>
        <v>73.961159999999992</v>
      </c>
      <c r="F9" s="23">
        <f t="shared" si="1"/>
        <v>2.4653719999999999</v>
      </c>
      <c r="G9" s="22"/>
      <c r="H9" s="24"/>
      <c r="I9" s="22"/>
      <c r="J9" s="22"/>
      <c r="K9" s="15">
        <f>C9+E9+G9+I9</f>
        <v>1419.2552400000002</v>
      </c>
      <c r="L9" s="22"/>
      <c r="M9" s="46"/>
      <c r="N9" s="22"/>
      <c r="O9" s="22">
        <f>('SERVISECURITAS 2008'!O9*1.4/100)+'SERVISECURITAS 2008'!O9</f>
        <v>0.22308</v>
      </c>
      <c r="P9" s="22"/>
      <c r="Q9" s="22">
        <f>('SERVISECURITAS 2008'!P9*1.4/100)+'SERVISECURITAS 2008'!P9</f>
        <v>7.9903199999999996</v>
      </c>
      <c r="R9" s="22">
        <f>('SERVISECURITAS 2008'!Q9*1.4/100)+'SERVISECURITAS 2008'!Q9</f>
        <v>13.334100000000001</v>
      </c>
      <c r="S9" s="22">
        <f>('SERVISECURITAS 2008'!R9*1.4/100)+'SERVISECURITAS 2008'!R9</f>
        <v>26.678339999999999</v>
      </c>
      <c r="T9" s="22">
        <f>('SERVISECURITAS 2008'!S9*1.4/100)+'SERVISECURITAS 2008'!S9</f>
        <v>24.45768</v>
      </c>
      <c r="U9" s="22">
        <f>('SERVISECURITAS 2008'!T9*1.4/100)+'SERVISECURITAS 2008'!T9</f>
        <v>118.01946</v>
      </c>
      <c r="V9" s="22">
        <v>101.4</v>
      </c>
      <c r="W9" s="22">
        <v>67.260000000000005</v>
      </c>
      <c r="X9" s="23">
        <f t="shared" si="3"/>
        <v>2.242</v>
      </c>
      <c r="Y9" s="22">
        <f>('SERVISECURITAS 2008'!X9*1.4/100)+'SERVISECURITAS 2008'!X9</f>
        <v>47.516039999999997</v>
      </c>
    </row>
    <row r="10" spans="1:25" ht="18" customHeight="1" x14ac:dyDescent="0.2">
      <c r="A10" s="44">
        <v>114</v>
      </c>
      <c r="B10" s="21" t="s">
        <v>19</v>
      </c>
      <c r="C10" s="22">
        <f>('SERVISECURITAS 2008'!C10*1.4/100)+'SERVISECURITAS 2008'!C10</f>
        <v>1278.8061</v>
      </c>
      <c r="D10" s="23">
        <f t="shared" si="0"/>
        <v>42.626870000000004</v>
      </c>
      <c r="E10" s="22">
        <f>('SERVISECURITAS 2008'!E10*1.4/100)+'SERVISECURITAS 2008'!E10</f>
        <v>73.961159999999992</v>
      </c>
      <c r="F10" s="23">
        <f t="shared" si="1"/>
        <v>2.4653719999999999</v>
      </c>
      <c r="G10" s="22"/>
      <c r="H10" s="24"/>
      <c r="I10" s="22"/>
      <c r="J10" s="22"/>
      <c r="K10" s="15">
        <f>C10+E10+G10+I10</f>
        <v>1352.7672600000001</v>
      </c>
      <c r="L10" s="22"/>
      <c r="M10" s="46"/>
      <c r="N10" s="22"/>
      <c r="O10" s="22">
        <f>('SERVISECURITAS 2008'!O10*1.4/100)+'SERVISECURITAS 2008'!O10</f>
        <v>0.22308</v>
      </c>
      <c r="P10" s="22"/>
      <c r="Q10" s="22">
        <f>('SERVISECURITAS 2008'!P10*1.4/100)+'SERVISECURITAS 2008'!P10</f>
        <v>7.9903199999999996</v>
      </c>
      <c r="R10" s="22">
        <f>('SERVISECURITAS 2008'!Q10*1.4/100)+'SERVISECURITAS 2008'!Q10</f>
        <v>13.334100000000001</v>
      </c>
      <c r="S10" s="22">
        <f>('SERVISECURITAS 2008'!R10*1.4/100)+'SERVISECURITAS 2008'!R10</f>
        <v>26.678339999999999</v>
      </c>
      <c r="T10" s="22">
        <f>('SERVISECURITAS 2008'!S10*1.4/100)+'SERVISECURITAS 2008'!S10</f>
        <v>24.45768</v>
      </c>
      <c r="U10" s="22">
        <f>('SERVISECURITAS 2008'!T10*1.4/100)+'SERVISECURITAS 2008'!T10</f>
        <v>118.01946</v>
      </c>
      <c r="V10" s="22">
        <v>101.4</v>
      </c>
      <c r="W10" s="22">
        <f>('SERVISECURITAS 2008'!V10*1.4/100)+'SERVISECURITAS 2008'!V10</f>
        <v>63.942840000000004</v>
      </c>
      <c r="X10" s="23">
        <f t="shared" si="3"/>
        <v>2.1314280000000001</v>
      </c>
      <c r="Y10" s="22">
        <f>('SERVISECURITAS 2008'!X10*1.4/100)+'SERVISECURITAS 2008'!X10</f>
        <v>47.516039999999997</v>
      </c>
    </row>
    <row r="11" spans="1:25" ht="18" customHeight="1" x14ac:dyDescent="0.2">
      <c r="A11" s="43"/>
      <c r="B11" s="27" t="s">
        <v>20</v>
      </c>
      <c r="C11" s="28"/>
      <c r="D11" s="29"/>
      <c r="E11" s="28"/>
      <c r="F11" s="29"/>
      <c r="G11" s="12"/>
      <c r="H11" s="13"/>
      <c r="I11" s="12"/>
      <c r="J11" s="12"/>
      <c r="K11" s="12"/>
      <c r="L11" s="47"/>
      <c r="M11" s="18"/>
      <c r="N11" s="22"/>
      <c r="O11" s="22"/>
      <c r="P11" s="22"/>
      <c r="Q11" s="22"/>
      <c r="R11" s="22"/>
      <c r="S11" s="22"/>
      <c r="T11" s="22"/>
      <c r="U11" s="22"/>
      <c r="V11" s="28"/>
      <c r="W11" s="22"/>
      <c r="X11" s="30"/>
      <c r="Y11" s="22"/>
    </row>
    <row r="12" spans="1:25" ht="18" customHeight="1" x14ac:dyDescent="0.2">
      <c r="A12" s="44">
        <v>201</v>
      </c>
      <c r="B12" s="21" t="s">
        <v>21</v>
      </c>
      <c r="C12" s="22">
        <f>('SERVISECURITAS 2008'!C12*1.4/100)+'SERVISECURITAS 2008'!C12</f>
        <v>1285.5390600000001</v>
      </c>
      <c r="D12" s="23">
        <f t="shared" ref="D12:D20" si="4">C12/30</f>
        <v>42.851302000000004</v>
      </c>
      <c r="E12" s="22">
        <f>('SERVISECURITAS 2008'!E12*1.4/100)+'SERVISECURITAS 2008'!E12</f>
        <v>73.961159999999992</v>
      </c>
      <c r="F12" s="23">
        <f t="shared" ref="F12:F20" si="5">E12/30</f>
        <v>2.4653719999999999</v>
      </c>
      <c r="G12" s="22"/>
      <c r="H12" s="24"/>
      <c r="I12" s="22"/>
      <c r="J12" s="22"/>
      <c r="K12" s="15">
        <f t="shared" ref="K12:K20" si="6">C12+E12+G12+I12</f>
        <v>1359.5002200000001</v>
      </c>
      <c r="L12" s="22"/>
      <c r="M12" s="22">
        <f>('SERVISECURITAS 2008'!M12*1.4/100)+'SERVISECURITAS 2008'!M12</f>
        <v>15.0579</v>
      </c>
      <c r="N12" s="22">
        <f>('SERVISECURITAS 2008'!N12*1.4/100)+'SERVISECURITAS 2008'!N12</f>
        <v>1.9975799999999999</v>
      </c>
      <c r="O12" s="22">
        <f>('SERVISECURITAS 2008'!O12*1.4/100)+'SERVISECURITAS 2008'!O12</f>
        <v>0.22308</v>
      </c>
      <c r="P12" s="22">
        <v>0.25</v>
      </c>
      <c r="Q12" s="22">
        <f>('SERVISECURITAS 2008'!P12*1.4/100)+'SERVISECURITAS 2008'!P12</f>
        <v>7.9903199999999996</v>
      </c>
      <c r="R12" s="22">
        <f>('SERVISECURITAS 2008'!Q12*1.4/100)+'SERVISECURITAS 2008'!Q12</f>
        <v>13.334100000000001</v>
      </c>
      <c r="S12" s="22">
        <f>('SERVISECURITAS 2008'!R12*1.4/100)+'SERVISECURITAS 2008'!R12</f>
        <v>26.678339999999999</v>
      </c>
      <c r="T12" s="22">
        <f>('SERVISECURITAS 2008'!S12*1.4/100)+'SERVISECURITAS 2008'!S12</f>
        <v>24.45768</v>
      </c>
      <c r="U12" s="22">
        <f>('SERVISECURITAS 2008'!T12*1.4/100)+'SERVISECURITAS 2008'!T12</f>
        <v>118.01946</v>
      </c>
      <c r="V12" s="22">
        <v>101.4</v>
      </c>
      <c r="W12" s="22">
        <f>('SERVISECURITAS 2008'!V12*1.4/100)+'SERVISECURITAS 2008'!V12</f>
        <v>64.277460000000005</v>
      </c>
      <c r="X12" s="23">
        <f t="shared" ref="X12:X20" si="7">W12/30</f>
        <v>2.142582</v>
      </c>
      <c r="Y12" s="22">
        <f>('SERVISECURITAS 2008'!X12*1.4/100)+'SERVISECURITAS 2008'!X12</f>
        <v>47.516039999999997</v>
      </c>
    </row>
    <row r="13" spans="1:25" ht="18" customHeight="1" x14ac:dyDescent="0.2">
      <c r="A13" s="44">
        <v>120</v>
      </c>
      <c r="B13" s="21" t="s">
        <v>48</v>
      </c>
      <c r="C13" s="22">
        <f>('SERVISECURITAS 2008'!C13*1.4/100)+'SERVISECURITAS 2008'!C13</f>
        <v>1285.5390600000001</v>
      </c>
      <c r="D13" s="23">
        <f t="shared" si="4"/>
        <v>42.851302000000004</v>
      </c>
      <c r="E13" s="22">
        <f>('SERVISECURITAS 2008'!E13*1.4/100)+'SERVISECURITAS 2008'!E13</f>
        <v>73.961159999999992</v>
      </c>
      <c r="F13" s="23">
        <f t="shared" si="5"/>
        <v>2.4653719999999999</v>
      </c>
      <c r="G13" s="22"/>
      <c r="H13" s="24"/>
      <c r="I13" s="22"/>
      <c r="J13" s="22"/>
      <c r="K13" s="15">
        <f t="shared" si="6"/>
        <v>1359.5002200000001</v>
      </c>
      <c r="L13" s="22"/>
      <c r="M13" s="22">
        <f>('SERVISECURITAS 2008'!M13*1.4/100)+'SERVISECURITAS 2008'!M13</f>
        <v>15.0579</v>
      </c>
      <c r="N13" s="22">
        <f>('SERVISECURITAS 2008'!N13*1.4/100)+'SERVISECURITAS 2008'!N13</f>
        <v>1.9975799999999999</v>
      </c>
      <c r="O13" s="22">
        <f>('SERVISECURITAS 2008'!O13*1.4/100)+'SERVISECURITAS 2008'!O13</f>
        <v>0.22308</v>
      </c>
      <c r="P13" s="22">
        <v>0.25</v>
      </c>
      <c r="Q13" s="22">
        <f>('SERVISECURITAS 2008'!P13*1.4/100)+'SERVISECURITAS 2008'!P13</f>
        <v>7.9903199999999996</v>
      </c>
      <c r="R13" s="22">
        <f>('SERVISECURITAS 2008'!Q13*1.4/100)+'SERVISECURITAS 2008'!Q13</f>
        <v>13.334100000000001</v>
      </c>
      <c r="S13" s="22">
        <f>('SERVISECURITAS 2008'!R13*1.4/100)+'SERVISECURITAS 2008'!R13</f>
        <v>26.678339999999999</v>
      </c>
      <c r="T13" s="22">
        <f>('SERVISECURITAS 2008'!S13*1.4/100)+'SERVISECURITAS 2008'!S13</f>
        <v>24.45768</v>
      </c>
      <c r="U13" s="22">
        <f>('SERVISECURITAS 2008'!T13*1.4/100)+'SERVISECURITAS 2008'!T13</f>
        <v>118.01946</v>
      </c>
      <c r="V13" s="22">
        <v>101.4</v>
      </c>
      <c r="W13" s="22">
        <f>('SERVISECURITAS 2008'!V13*1.4/100)+'SERVISECURITAS 2008'!V13</f>
        <v>64.277460000000005</v>
      </c>
      <c r="X13" s="23">
        <f t="shared" si="7"/>
        <v>2.142582</v>
      </c>
      <c r="Y13" s="22">
        <f>('SERVISECURITAS 2008'!X13*1.4/100)+'SERVISECURITAS 2008'!X13</f>
        <v>47.516039999999997</v>
      </c>
    </row>
    <row r="14" spans="1:25" ht="18" customHeight="1" x14ac:dyDescent="0.2">
      <c r="A14" s="44">
        <v>207</v>
      </c>
      <c r="B14" s="21" t="s">
        <v>49</v>
      </c>
      <c r="C14" s="22">
        <f>('SERVISECURITAS 2008'!C14*1.4/100)+'SERVISECURITAS 2008'!C14</f>
        <v>954.15372000000002</v>
      </c>
      <c r="D14" s="23">
        <f t="shared" si="4"/>
        <v>31.805123999999999</v>
      </c>
      <c r="E14" s="22">
        <f>('SERVISECURITAS 2008'!E14*1.4/100)+'SERVISECURITAS 2008'!E14</f>
        <v>73.961159999999992</v>
      </c>
      <c r="F14" s="23">
        <f t="shared" si="5"/>
        <v>2.4653719999999999</v>
      </c>
      <c r="G14" s="22"/>
      <c r="H14" s="24"/>
      <c r="I14" s="22"/>
      <c r="J14" s="22"/>
      <c r="K14" s="15">
        <f t="shared" si="6"/>
        <v>1028.1148800000001</v>
      </c>
      <c r="L14" s="22"/>
      <c r="M14" s="22">
        <f>('SERVISECURITAS 2008'!M14*1.4/100)+'SERVISECURITAS 2008'!M14</f>
        <v>11.154</v>
      </c>
      <c r="N14" s="22">
        <f>('SERVISECURITAS 2008'!N14*1.4/100)+'SERVISECURITAS 2008'!N14</f>
        <v>1.48044</v>
      </c>
      <c r="O14" s="22">
        <f>('SERVISECURITAS 2008'!O14*1.4/100)+'SERVISECURITAS 2008'!O14</f>
        <v>0.22308</v>
      </c>
      <c r="P14" s="22">
        <v>0.25</v>
      </c>
      <c r="Q14" s="22">
        <f>('SERVISECURITAS 2008'!P14*1.4/100)+'SERVISECURITAS 2008'!P14</f>
        <v>7.9903199999999996</v>
      </c>
      <c r="R14" s="22">
        <f>('SERVISECURITAS 2008'!Q14*1.4/100)+'SERVISECURITAS 2008'!Q14</f>
        <v>13.334100000000001</v>
      </c>
      <c r="S14" s="22">
        <f>('SERVISECURITAS 2008'!R14*1.4/100)+'SERVISECURITAS 2008'!R14</f>
        <v>26.678339999999999</v>
      </c>
      <c r="T14" s="22">
        <f>('SERVISECURITAS 2008'!S14*1.4/100)+'SERVISECURITAS 2008'!S14</f>
        <v>24.45768</v>
      </c>
      <c r="U14" s="22">
        <f>('SERVISECURITAS 2008'!T14*1.4/100)+'SERVISECURITAS 2008'!T14</f>
        <v>118.01946</v>
      </c>
      <c r="V14" s="22">
        <v>101.4</v>
      </c>
      <c r="W14" s="22">
        <f>('SERVISECURITAS 2008'!V14*1.4/100)+'SERVISECURITAS 2008'!V14</f>
        <v>47.7087</v>
      </c>
      <c r="X14" s="23">
        <f t="shared" si="7"/>
        <v>1.59029</v>
      </c>
      <c r="Y14" s="22">
        <f>('SERVISECURITAS 2008'!X14*1.4/100)+'SERVISECURITAS 2008'!X14</f>
        <v>47.516039999999997</v>
      </c>
    </row>
    <row r="15" spans="1:25" ht="18" customHeight="1" x14ac:dyDescent="0.2">
      <c r="A15" s="44">
        <v>202</v>
      </c>
      <c r="B15" s="21" t="s">
        <v>22</v>
      </c>
      <c r="C15" s="22">
        <f>('SERVISECURITAS 2008'!C15*1.4/100)+'SERVISECURITAS 2008'!C15</f>
        <v>1150.4641199999999</v>
      </c>
      <c r="D15" s="23">
        <f t="shared" si="4"/>
        <v>38.348803999999994</v>
      </c>
      <c r="E15" s="22">
        <f>('SERVISECURITAS 2008'!E15*1.4/100)+'SERVISECURITAS 2008'!E15</f>
        <v>73.961159999999992</v>
      </c>
      <c r="F15" s="23">
        <f t="shared" si="5"/>
        <v>2.4653719999999999</v>
      </c>
      <c r="G15" s="22"/>
      <c r="H15" s="24"/>
      <c r="I15" s="22"/>
      <c r="J15" s="22"/>
      <c r="K15" s="15">
        <f t="shared" si="6"/>
        <v>1224.4252799999999</v>
      </c>
      <c r="L15" s="22"/>
      <c r="M15" s="22">
        <f>('SERVISECURITAS 2008'!M15*1.4/100)+'SERVISECURITAS 2008'!M15</f>
        <v>14.84496</v>
      </c>
      <c r="N15" s="22">
        <f>('SERVISECURITAS 2008'!N15*1.4/100)+'SERVISECURITAS 2008'!N15</f>
        <v>1.78464</v>
      </c>
      <c r="O15" s="22">
        <f>('SERVISECURITAS 2008'!O15*1.4/100)+'SERVISECURITAS 2008'!O15</f>
        <v>0.22308</v>
      </c>
      <c r="P15" s="22">
        <v>0.25</v>
      </c>
      <c r="Q15" s="22">
        <f>('SERVISECURITAS 2008'!P15*1.4/100)+'SERVISECURITAS 2008'!P15</f>
        <v>7.9903199999999996</v>
      </c>
      <c r="R15" s="22">
        <f>('SERVISECURITAS 2008'!Q15*1.4/100)+'SERVISECURITAS 2008'!Q15</f>
        <v>13.334100000000001</v>
      </c>
      <c r="S15" s="22">
        <f>('SERVISECURITAS 2008'!R15*1.4/100)+'SERVISECURITAS 2008'!R15</f>
        <v>26.678339999999999</v>
      </c>
      <c r="T15" s="22">
        <f>('SERVISECURITAS 2008'!S15*1.4/100)+'SERVISECURITAS 2008'!S15</f>
        <v>24.45768</v>
      </c>
      <c r="U15" s="22">
        <f>('SERVISECURITAS 2008'!T15*1.4/100)+'SERVISECURITAS 2008'!T15</f>
        <v>118.01946</v>
      </c>
      <c r="V15" s="22">
        <v>101.4</v>
      </c>
      <c r="W15" s="22">
        <f>('SERVISECURITAS 2008'!V15*1.4/100)+'SERVISECURITAS 2008'!V15</f>
        <v>57.52422</v>
      </c>
      <c r="X15" s="23">
        <f t="shared" si="7"/>
        <v>1.9174739999999999</v>
      </c>
      <c r="Y15" s="22">
        <f>('SERVISECURITAS 2008'!X15*1.4/100)+'SERVISECURITAS 2008'!X15</f>
        <v>47.516039999999997</v>
      </c>
    </row>
    <row r="16" spans="1:25" ht="18" customHeight="1" x14ac:dyDescent="0.2">
      <c r="A16" s="44">
        <v>203</v>
      </c>
      <c r="B16" s="21" t="s">
        <v>23</v>
      </c>
      <c r="C16" s="22">
        <f>('SERVISECURITAS 2008'!C16*1.4/100)+'SERVISECURITAS 2008'!C16</f>
        <v>946.15326000000005</v>
      </c>
      <c r="D16" s="23">
        <f t="shared" si="4"/>
        <v>31.538442</v>
      </c>
      <c r="E16" s="22">
        <f>('SERVISECURITAS 2008'!E16*1.4/100)+'SERVISECURITAS 2008'!E16</f>
        <v>73.961159999999992</v>
      </c>
      <c r="F16" s="23">
        <f t="shared" si="5"/>
        <v>2.4653719999999999</v>
      </c>
      <c r="G16" s="22"/>
      <c r="H16" s="24"/>
      <c r="I16" s="22"/>
      <c r="J16" s="22"/>
      <c r="K16" s="15">
        <f t="shared" si="6"/>
        <v>1020.11442</v>
      </c>
      <c r="L16" s="22"/>
      <c r="M16" s="22">
        <f>('SERVISECURITAS 2008'!M16*1.4/100)+'SERVISECURITAS 2008'!M16</f>
        <v>13.455779999999999</v>
      </c>
      <c r="N16" s="22">
        <f>('SERVISECURITAS 2008'!N16*1.4/100)+'SERVISECURITAS 2008'!N16</f>
        <v>1.4601599999999999</v>
      </c>
      <c r="O16" s="22">
        <f>('SERVISECURITAS 2008'!O16*1.4/100)+'SERVISECURITAS 2008'!O16</f>
        <v>0.22308</v>
      </c>
      <c r="P16" s="22">
        <v>0.25</v>
      </c>
      <c r="Q16" s="22">
        <f>('SERVISECURITAS 2008'!P16*1.4/100)+'SERVISECURITAS 2008'!P16</f>
        <v>7.9903199999999996</v>
      </c>
      <c r="R16" s="22">
        <f>('SERVISECURITAS 2008'!Q16*1.4/100)+'SERVISECURITAS 2008'!Q16</f>
        <v>13.334100000000001</v>
      </c>
      <c r="S16" s="22">
        <f>('SERVISECURITAS 2008'!R16*1.4/100)+'SERVISECURITAS 2008'!R16</f>
        <v>26.678339999999999</v>
      </c>
      <c r="T16" s="22">
        <f>('SERVISECURITAS 2008'!S16*1.4/100)+'SERVISECURITAS 2008'!S16</f>
        <v>24.45768</v>
      </c>
      <c r="U16" s="22">
        <f>('SERVISECURITAS 2008'!T16*1.4/100)+'SERVISECURITAS 2008'!T16</f>
        <v>118.01946</v>
      </c>
      <c r="V16" s="22">
        <v>101.4</v>
      </c>
      <c r="W16" s="22">
        <v>47.31</v>
      </c>
      <c r="X16" s="23">
        <f t="shared" si="7"/>
        <v>1.5770000000000002</v>
      </c>
      <c r="Y16" s="22">
        <f>('SERVISECURITAS 2008'!X16*1.4/100)+'SERVISECURITAS 2008'!X16</f>
        <v>47.516039999999997</v>
      </c>
    </row>
    <row r="17" spans="1:25" ht="18" customHeight="1" x14ac:dyDescent="0.2">
      <c r="A17" s="44">
        <v>204</v>
      </c>
      <c r="B17" s="21" t="s">
        <v>24</v>
      </c>
      <c r="C17" s="22">
        <f>('SERVISECURITAS 2008'!C17*1.4/100)+'SERVISECURITAS 2008'!C17</f>
        <v>868.81548000000009</v>
      </c>
      <c r="D17" s="23">
        <f t="shared" si="4"/>
        <v>28.960516000000002</v>
      </c>
      <c r="E17" s="22">
        <f>('SERVISECURITAS 2008'!E17*1.4/100)+'SERVISECURITAS 2008'!E17</f>
        <v>73.961159999999992</v>
      </c>
      <c r="F17" s="23">
        <f t="shared" si="5"/>
        <v>2.4653719999999999</v>
      </c>
      <c r="G17" s="22"/>
      <c r="H17" s="24"/>
      <c r="I17" s="22"/>
      <c r="J17" s="22"/>
      <c r="K17" s="15">
        <f t="shared" si="6"/>
        <v>942.77664000000004</v>
      </c>
      <c r="L17" s="22"/>
      <c r="M17" s="22">
        <f>('SERVISECURITAS 2008'!M17*1.4/100)+'SERVISECURITAS 2008'!M17</f>
        <v>10.099440000000001</v>
      </c>
      <c r="N17" s="22">
        <f>('SERVISECURITAS 2008'!N17*1.4/100)+'SERVISECURITAS 2008'!N17</f>
        <v>1.3384800000000001</v>
      </c>
      <c r="O17" s="22">
        <f>('SERVISECURITAS 2008'!O17*1.4/100)+'SERVISECURITAS 2008'!O17</f>
        <v>0.22308</v>
      </c>
      <c r="P17" s="22">
        <v>0.25</v>
      </c>
      <c r="Q17" s="22">
        <f>('SERVISECURITAS 2008'!P17*1.4/100)+'SERVISECURITAS 2008'!P17</f>
        <v>7.9903199999999996</v>
      </c>
      <c r="R17" s="22">
        <f>('SERVISECURITAS 2008'!Q17*1.4/100)+'SERVISECURITAS 2008'!Q17</f>
        <v>13.334100000000001</v>
      </c>
      <c r="S17" s="22">
        <f>('SERVISECURITAS 2008'!R17*1.4/100)+'SERVISECURITAS 2008'!R17</f>
        <v>26.678339999999999</v>
      </c>
      <c r="T17" s="22">
        <f>('SERVISECURITAS 2008'!S17*1.4/100)+'SERVISECURITAS 2008'!S17</f>
        <v>24.45768</v>
      </c>
      <c r="U17" s="22">
        <f>('SERVISECURITAS 2008'!T17*1.4/100)+'SERVISECURITAS 2008'!T17</f>
        <v>118.01946</v>
      </c>
      <c r="V17" s="22">
        <v>101.4</v>
      </c>
      <c r="W17" s="22">
        <f>('SERVISECURITAS 2008'!V17*1.4/100)+'SERVISECURITAS 2008'!V17</f>
        <v>43.439760000000007</v>
      </c>
      <c r="X17" s="23">
        <f t="shared" si="7"/>
        <v>1.4479920000000002</v>
      </c>
      <c r="Y17" s="22">
        <f>('SERVISECURITAS 2008'!X17*1.4/100)+'SERVISECURITAS 2008'!X17</f>
        <v>47.516039999999997</v>
      </c>
    </row>
    <row r="18" spans="1:25" ht="18" customHeight="1" x14ac:dyDescent="0.2">
      <c r="A18" s="44">
        <v>206</v>
      </c>
      <c r="B18" s="21" t="s">
        <v>25</v>
      </c>
      <c r="C18" s="22">
        <f>('SERVISECURITAS 2008'!C18*1.4/100)+'SERVISECURITAS 2008'!C18</f>
        <v>682.97969999999998</v>
      </c>
      <c r="D18" s="23">
        <f t="shared" si="4"/>
        <v>22.765989999999999</v>
      </c>
      <c r="E18" s="22">
        <f>('SERVISECURITAS 2008'!E18*1.4/100)+'SERVISECURITAS 2008'!E18</f>
        <v>73.961159999999992</v>
      </c>
      <c r="F18" s="23">
        <f t="shared" si="5"/>
        <v>2.4653719999999999</v>
      </c>
      <c r="G18" s="22"/>
      <c r="H18" s="24"/>
      <c r="I18" s="22"/>
      <c r="J18" s="22"/>
      <c r="K18" s="15">
        <f t="shared" si="6"/>
        <v>756.94085999999993</v>
      </c>
      <c r="L18" s="22"/>
      <c r="M18" s="22">
        <f>('SERVISECURITAS 2008'!M18*1.4/100)+'SERVISECURITAS 2008'!M18</f>
        <v>7.91934</v>
      </c>
      <c r="N18" s="22">
        <v>1.03</v>
      </c>
      <c r="O18" s="22">
        <f>('SERVISECURITAS 2008'!O18*1.4/100)+'SERVISECURITAS 2008'!O18</f>
        <v>0.22308</v>
      </c>
      <c r="P18" s="22">
        <v>0.25</v>
      </c>
      <c r="Q18" s="22">
        <f>('SERVISECURITAS 2008'!P18*1.4/100)+'SERVISECURITAS 2008'!P18</f>
        <v>7.9903199999999996</v>
      </c>
      <c r="R18" s="22">
        <f>('SERVISECURITAS 2008'!Q18*1.4/100)+'SERVISECURITAS 2008'!Q18</f>
        <v>13.334100000000001</v>
      </c>
      <c r="S18" s="22">
        <f>('SERVISECURITAS 2008'!R18*1.4/100)+'SERVISECURITAS 2008'!R18</f>
        <v>26.678339999999999</v>
      </c>
      <c r="T18" s="22">
        <f>('SERVISECURITAS 2008'!S18*1.4/100)+'SERVISECURITAS 2008'!S18</f>
        <v>24.45768</v>
      </c>
      <c r="U18" s="22">
        <f>('SERVISECURITAS 2008'!T18*1.4/100)+'SERVISECURITAS 2008'!T18</f>
        <v>118.01946</v>
      </c>
      <c r="V18" s="22">
        <v>101.4</v>
      </c>
      <c r="W18" s="22">
        <f>('SERVISECURITAS 2008'!V18*1.4/100)+'SERVISECURITAS 2008'!V18</f>
        <v>34.151519999999998</v>
      </c>
      <c r="X18" s="23">
        <f t="shared" si="7"/>
        <v>1.1383839999999998</v>
      </c>
      <c r="Y18" s="22">
        <f>('SERVISECURITAS 2008'!X18*1.4/100)+'SERVISECURITAS 2008'!X18</f>
        <v>47.516039999999997</v>
      </c>
    </row>
    <row r="19" spans="1:25" ht="18" customHeight="1" x14ac:dyDescent="0.2">
      <c r="A19" s="44">
        <v>210</v>
      </c>
      <c r="B19" s="21" t="s">
        <v>26</v>
      </c>
      <c r="C19" s="22">
        <v>624</v>
      </c>
      <c r="D19" s="23">
        <f t="shared" si="4"/>
        <v>20.8</v>
      </c>
      <c r="E19" s="22">
        <f>('SERVISECURITAS 2008'!E19*1.4/100)+'SERVISECURITAS 2008'!E19</f>
        <v>73.961159999999992</v>
      </c>
      <c r="F19" s="23">
        <f t="shared" si="5"/>
        <v>2.4653719999999999</v>
      </c>
      <c r="G19" s="22"/>
      <c r="H19" s="24"/>
      <c r="I19" s="22"/>
      <c r="J19" s="22"/>
      <c r="K19" s="15">
        <f t="shared" si="6"/>
        <v>697.96115999999995</v>
      </c>
      <c r="L19" s="22"/>
      <c r="M19" s="22">
        <f>('SERVISECURITAS 2008'!M19*1.4/100)+'SERVISECURITAS 2008'!M19</f>
        <v>5.4958799999999997</v>
      </c>
      <c r="N19" s="22">
        <f>('SERVISECURITAS 2008'!N19*1.4/100)+'SERVISECURITAS 2008'!N19</f>
        <v>0.93288000000000004</v>
      </c>
      <c r="O19" s="22">
        <f>('SERVISECURITAS 2008'!O19*1.4/100)+'SERVISECURITAS 2008'!O19</f>
        <v>0.22308</v>
      </c>
      <c r="P19" s="22">
        <v>0.25</v>
      </c>
      <c r="Q19" s="22">
        <f>('SERVISECURITAS 2008'!P19*1.4/100)+'SERVISECURITAS 2008'!P19</f>
        <v>7.9903199999999996</v>
      </c>
      <c r="R19" s="22">
        <f>('SERVISECURITAS 2008'!Q19*1.4/100)+'SERVISECURITAS 2008'!Q19</f>
        <v>13.334100000000001</v>
      </c>
      <c r="S19" s="22">
        <f>('SERVISECURITAS 2008'!R19*1.4/100)+'SERVISECURITAS 2008'!R19</f>
        <v>26.678339999999999</v>
      </c>
      <c r="T19" s="22">
        <f>('SERVISECURITAS 2008'!S19*1.4/100)+'SERVISECURITAS 2008'!S19</f>
        <v>24.45768</v>
      </c>
      <c r="U19" s="22">
        <f>('SERVISECURITAS 2008'!T19*1.4/100)+'SERVISECURITAS 2008'!T19</f>
        <v>118.01946</v>
      </c>
      <c r="V19" s="22">
        <v>101.4</v>
      </c>
      <c r="W19" s="22">
        <v>31.2</v>
      </c>
      <c r="X19" s="23">
        <f t="shared" si="7"/>
        <v>1.04</v>
      </c>
      <c r="Y19" s="22">
        <f>('SERVISECURITAS 2008'!X19*1.4/100)+'SERVISECURITAS 2008'!X19</f>
        <v>47.516039999999997</v>
      </c>
    </row>
    <row r="20" spans="1:25" ht="18" customHeight="1" x14ac:dyDescent="0.2">
      <c r="A20" s="44">
        <v>209</v>
      </c>
      <c r="B20" s="21" t="s">
        <v>27</v>
      </c>
      <c r="C20" s="22">
        <f>('SERVISECURITAS 2008'!C20*1.4/100)+'SERVISECURITAS 2008'!C20</f>
        <v>682.97969999999998</v>
      </c>
      <c r="D20" s="23">
        <f t="shared" si="4"/>
        <v>22.765989999999999</v>
      </c>
      <c r="E20" s="22">
        <f>('SERVISECURITAS 2008'!E20*1.4/100)+'SERVISECURITAS 2008'!E20</f>
        <v>73.961159999999992</v>
      </c>
      <c r="F20" s="23">
        <f t="shared" si="5"/>
        <v>2.4653719999999999</v>
      </c>
      <c r="G20" s="22"/>
      <c r="H20" s="24"/>
      <c r="I20" s="22"/>
      <c r="J20" s="22"/>
      <c r="K20" s="15">
        <f t="shared" si="6"/>
        <v>756.94085999999993</v>
      </c>
      <c r="L20" s="22"/>
      <c r="M20" s="22">
        <f>('SERVISECURITAS 2008'!M20*1.4/100)+'SERVISECURITAS 2008'!M20</f>
        <v>7.91934</v>
      </c>
      <c r="N20" s="22">
        <f>('SERVISECURITAS 2008'!N20*1.4/100)+'SERVISECURITAS 2008'!N20</f>
        <v>1.0444200000000001</v>
      </c>
      <c r="O20" s="22">
        <f>('SERVISECURITAS 2008'!O20*1.4/100)+'SERVISECURITAS 2008'!O20</f>
        <v>0.22308</v>
      </c>
      <c r="P20" s="22">
        <v>0.25</v>
      </c>
      <c r="Q20" s="22">
        <f>('SERVISECURITAS 2008'!P20*1.4/100)+'SERVISECURITAS 2008'!P20</f>
        <v>7.9903199999999996</v>
      </c>
      <c r="R20" s="22">
        <f>('SERVISECURITAS 2008'!Q20*1.4/100)+'SERVISECURITAS 2008'!Q20</f>
        <v>13.334100000000001</v>
      </c>
      <c r="S20" s="22">
        <f>('SERVISECURITAS 2008'!R20*1.4/100)+'SERVISECURITAS 2008'!R20</f>
        <v>26.678339999999999</v>
      </c>
      <c r="T20" s="22">
        <f>('SERVISECURITAS 2008'!S20*1.4/100)+'SERVISECURITAS 2008'!S20</f>
        <v>24.45768</v>
      </c>
      <c r="U20" s="22">
        <f>('SERVISECURITAS 2008'!T20*1.4/100)+'SERVISECURITAS 2008'!T20</f>
        <v>118.01946</v>
      </c>
      <c r="V20" s="22">
        <v>101.4</v>
      </c>
      <c r="W20" s="22">
        <f>('SERVISECURITAS 2008'!V20*1.4/100)+'SERVISECURITAS 2008'!V20</f>
        <v>34.151519999999998</v>
      </c>
      <c r="X20" s="23">
        <f t="shared" si="7"/>
        <v>1.1383839999999998</v>
      </c>
      <c r="Y20" s="22">
        <f>('SERVISECURITAS 2008'!X20*1.4/100)+'SERVISECURITAS 2008'!X20</f>
        <v>47.516039999999997</v>
      </c>
    </row>
    <row r="21" spans="1:25" ht="18" customHeight="1" x14ac:dyDescent="0.2">
      <c r="A21" s="43"/>
      <c r="B21" s="27" t="s">
        <v>28</v>
      </c>
      <c r="C21" s="28"/>
      <c r="D21" s="29"/>
      <c r="E21" s="28"/>
      <c r="F21" s="29"/>
      <c r="G21" s="28"/>
      <c r="H21" s="29"/>
      <c r="I21" s="28"/>
      <c r="J21" s="28"/>
      <c r="K21" s="12"/>
      <c r="L21" s="47"/>
      <c r="M21" s="18"/>
      <c r="N21" s="22"/>
      <c r="O21" s="22"/>
      <c r="P21" s="22"/>
      <c r="Q21" s="22"/>
      <c r="R21" s="22"/>
      <c r="S21" s="22"/>
      <c r="T21" s="22"/>
      <c r="U21" s="22"/>
      <c r="V21" s="28"/>
      <c r="W21" s="22"/>
      <c r="X21" s="30"/>
      <c r="Y21" s="22"/>
    </row>
    <row r="22" spans="1:25" ht="18" customHeight="1" x14ac:dyDescent="0.2">
      <c r="A22" s="44">
        <v>504</v>
      </c>
      <c r="B22" s="21" t="s">
        <v>29</v>
      </c>
      <c r="C22" s="22">
        <f>('SERVISECURITAS 2008'!C22*1.4/100)+'SERVISECURITAS 2008'!C22</f>
        <v>1278.8061</v>
      </c>
      <c r="D22" s="23">
        <f>C22/30</f>
        <v>42.626870000000004</v>
      </c>
      <c r="E22" s="22">
        <f>('SERVISECURITAS 2008'!E22*1.4/100)+'SERVISECURITAS 2008'!E22</f>
        <v>73.961159999999992</v>
      </c>
      <c r="F22" s="23">
        <f>E22/30</f>
        <v>2.4653719999999999</v>
      </c>
      <c r="G22" s="22"/>
      <c r="H22" s="24"/>
      <c r="I22" s="22"/>
      <c r="J22" s="22"/>
      <c r="K22" s="15">
        <f>C22+E22+G22+I22</f>
        <v>1352.7672600000001</v>
      </c>
      <c r="L22" s="22"/>
      <c r="M22" s="22">
        <f>('SERVISECURITAS 2008'!M22*1.4/100)+'SERVISECURITAS 2008'!M22</f>
        <v>14.87538</v>
      </c>
      <c r="N22" s="22">
        <f>('SERVISECURITAS 2008'!N22*1.4/100)+'SERVISECURITAS 2008'!N22</f>
        <v>1.9975799999999999</v>
      </c>
      <c r="O22" s="22">
        <f>('SERVISECURITAS 2008'!O22*1.4/100)+'SERVISECURITAS 2008'!O22</f>
        <v>0.22308</v>
      </c>
      <c r="P22" s="22">
        <v>0.25</v>
      </c>
      <c r="Q22" s="22">
        <f>('SERVISECURITAS 2008'!P22*1.4/100)+'SERVISECURITAS 2008'!P22</f>
        <v>7.9903199999999996</v>
      </c>
      <c r="R22" s="22">
        <f>('SERVISECURITAS 2008'!Q22*1.4/100)+'SERVISECURITAS 2008'!Q22</f>
        <v>13.334100000000001</v>
      </c>
      <c r="S22" s="22">
        <f>('SERVISECURITAS 2008'!R22*1.4/100)+'SERVISECURITAS 2008'!R22</f>
        <v>26.678339999999999</v>
      </c>
      <c r="T22" s="22">
        <f>('SERVISECURITAS 2008'!S22*1.4/100)+'SERVISECURITAS 2008'!S22</f>
        <v>24.45768</v>
      </c>
      <c r="U22" s="22">
        <f>('SERVISECURITAS 2008'!T22*1.4/100)+'SERVISECURITAS 2008'!T22</f>
        <v>118.01946</v>
      </c>
      <c r="V22" s="22">
        <v>101.4</v>
      </c>
      <c r="W22" s="22">
        <f>('SERVISECURITAS 2008'!V22*1.4/100)+'SERVISECURITAS 2008'!V22</f>
        <v>63.942840000000004</v>
      </c>
      <c r="X22" s="23">
        <f>W22/30</f>
        <v>2.1314280000000001</v>
      </c>
      <c r="Y22" s="22">
        <f>('SERVISECURITAS 2008'!X22*1.4/100)+'SERVISECURITAS 2008'!X22</f>
        <v>47.516039999999997</v>
      </c>
    </row>
    <row r="23" spans="1:25" ht="18" customHeight="1" x14ac:dyDescent="0.2">
      <c r="A23" s="44">
        <v>227</v>
      </c>
      <c r="B23" s="21" t="s">
        <v>30</v>
      </c>
      <c r="C23" s="22">
        <f>('SERVISECURITAS 2008'!C23*1.4/100)+'SERVISECURITAS 2008'!C23</f>
        <v>946.15326000000005</v>
      </c>
      <c r="D23" s="23">
        <f>C23/30</f>
        <v>31.538442</v>
      </c>
      <c r="E23" s="22">
        <f>('SERVISECURITAS 2008'!E23*1.4/100)+'SERVISECURITAS 2008'!E23</f>
        <v>73.961159999999992</v>
      </c>
      <c r="F23" s="23">
        <f>E23/30</f>
        <v>2.4653719999999999</v>
      </c>
      <c r="G23" s="22"/>
      <c r="H23" s="24"/>
      <c r="I23" s="22"/>
      <c r="J23" s="22"/>
      <c r="K23" s="15">
        <f>C23+E23+G23+I23</f>
        <v>1020.11442</v>
      </c>
      <c r="L23" s="22"/>
      <c r="M23" s="22">
        <f>('SERVISECURITAS 2008'!M23*1.4/100)+'SERVISECURITAS 2008'!M23</f>
        <v>11.03232</v>
      </c>
      <c r="N23" s="22">
        <f>('SERVISECURITAS 2008'!N23*1.4/100)+'SERVISECURITAS 2008'!N23</f>
        <v>1.4601599999999999</v>
      </c>
      <c r="O23" s="22">
        <f>('SERVISECURITAS 2008'!O23*1.4/100)+'SERVISECURITAS 2008'!O23</f>
        <v>0.22308</v>
      </c>
      <c r="P23" s="22">
        <v>0.25</v>
      </c>
      <c r="Q23" s="22">
        <f>('SERVISECURITAS 2008'!P23*1.4/100)+'SERVISECURITAS 2008'!P23</f>
        <v>7.9903199999999996</v>
      </c>
      <c r="R23" s="22">
        <f>('SERVISECURITAS 2008'!Q23*1.4/100)+'SERVISECURITAS 2008'!Q23</f>
        <v>13.334100000000001</v>
      </c>
      <c r="S23" s="22">
        <f>('SERVISECURITAS 2008'!R23*1.4/100)+'SERVISECURITAS 2008'!R23</f>
        <v>26.678339999999999</v>
      </c>
      <c r="T23" s="22">
        <f>('SERVISECURITAS 2008'!S23*1.4/100)+'SERVISECURITAS 2008'!S23</f>
        <v>24.45768</v>
      </c>
      <c r="U23" s="22">
        <f>('SERVISECURITAS 2008'!T23*1.4/100)+'SERVISECURITAS 2008'!T23</f>
        <v>118.01946</v>
      </c>
      <c r="V23" s="22">
        <v>101.4</v>
      </c>
      <c r="W23" s="22">
        <v>47.31</v>
      </c>
      <c r="X23" s="23">
        <f>W23/30</f>
        <v>1.5770000000000002</v>
      </c>
      <c r="Y23" s="22">
        <f>('SERVISECURITAS 2008'!X23*1.4/100)+'SERVISECURITAS 2008'!X23</f>
        <v>47.516039999999997</v>
      </c>
    </row>
    <row r="24" spans="1:25" ht="18" customHeight="1" x14ac:dyDescent="0.2">
      <c r="A24" s="43"/>
      <c r="B24" s="27" t="s">
        <v>31</v>
      </c>
      <c r="C24" s="28"/>
      <c r="D24" s="29"/>
      <c r="E24" s="28"/>
      <c r="F24" s="29"/>
      <c r="G24" s="28"/>
      <c r="H24" s="29"/>
      <c r="I24" s="28"/>
      <c r="J24" s="28"/>
      <c r="K24" s="12"/>
      <c r="L24" s="47"/>
      <c r="M24" s="18"/>
      <c r="N24" s="22"/>
      <c r="O24" s="22"/>
      <c r="P24" s="22"/>
      <c r="Q24" s="22"/>
      <c r="R24" s="22"/>
      <c r="S24" s="22"/>
      <c r="T24" s="22"/>
      <c r="U24" s="22"/>
      <c r="V24" s="28"/>
      <c r="W24" s="22"/>
      <c r="X24" s="30"/>
      <c r="Y24" s="22"/>
    </row>
    <row r="25" spans="1:25" ht="18" customHeight="1" x14ac:dyDescent="0.2">
      <c r="A25" s="44" t="s">
        <v>52</v>
      </c>
      <c r="B25" s="21" t="s">
        <v>32</v>
      </c>
      <c r="C25" s="22">
        <f>('SERVISECURITAS 2008'!C25*1.4/100)+'SERVISECURITAS 2008'!C25</f>
        <v>634.03391999999997</v>
      </c>
      <c r="D25" s="23">
        <f t="shared" ref="D25:D32" si="8">C25/30</f>
        <v>21.134463999999998</v>
      </c>
      <c r="E25" s="22">
        <f>('SERVISECURITAS 2008'!E25*1.4/100)+'SERVISECURITAS 2008'!E25</f>
        <v>73.961159999999992</v>
      </c>
      <c r="F25" s="23">
        <f t="shared" ref="F25:F32" si="9">E25/30</f>
        <v>2.4653719999999999</v>
      </c>
      <c r="G25" s="22">
        <f>('SERVISECURITAS 2008'!G25*1.4/100)+'SERVISECURITAS 2008'!G25</f>
        <v>29.588519999999999</v>
      </c>
      <c r="H25" s="23">
        <f t="shared" ref="H25:H32" si="10">G25/30</f>
        <v>0.98628399999999994</v>
      </c>
      <c r="I25" s="22"/>
      <c r="J25" s="22"/>
      <c r="K25" s="15">
        <f t="shared" ref="K25:K32" si="11">C25+E25+G25+I25</f>
        <v>737.58359999999993</v>
      </c>
      <c r="L25" s="22"/>
      <c r="M25" s="22">
        <f>('SERVISECURITAS 2008'!M25*1.4/100)+'SERVISECURITAS 2008'!M25</f>
        <v>6.65184</v>
      </c>
      <c r="N25" s="22">
        <f>('SERVISECURITAS 2008'!N25*1.4/100)+'SERVISECURITAS 2008'!N25</f>
        <v>0.9531599999999999</v>
      </c>
      <c r="O25" s="22">
        <f>('SERVISECURITAS 2008'!O25*1.4/100)+'SERVISECURITAS 2008'!O25</f>
        <v>0.22308</v>
      </c>
      <c r="P25" s="22">
        <v>0.25</v>
      </c>
      <c r="Q25" s="22">
        <f>('SERVISECURITAS 2008'!P25*1.4/100)+'SERVISECURITAS 2008'!P25</f>
        <v>7.9903199999999996</v>
      </c>
      <c r="R25" s="22">
        <f>('SERVISECURITAS 2008'!Q25*1.4/100)+'SERVISECURITAS 2008'!Q25</f>
        <v>13.334100000000001</v>
      </c>
      <c r="S25" s="22">
        <f>('SERVISECURITAS 2008'!R25*1.4/100)+'SERVISECURITAS 2008'!R25</f>
        <v>26.678339999999999</v>
      </c>
      <c r="T25" s="22">
        <f>('SERVISECURITAS 2008'!S25*1.4/100)+'SERVISECURITAS 2008'!S25</f>
        <v>24.45768</v>
      </c>
      <c r="U25" s="22">
        <f>('SERVISECURITAS 2008'!T25*1.4/100)+'SERVISECURITAS 2008'!T25</f>
        <v>118.01946</v>
      </c>
      <c r="V25" s="22">
        <v>101.4</v>
      </c>
      <c r="W25" s="22">
        <f>('SERVISECURITAS 2008'!V25*1.4/100)+'SERVISECURITAS 2008'!V25</f>
        <v>31.69764</v>
      </c>
      <c r="X25" s="23">
        <f t="shared" ref="X25:X32" si="12">W25/30</f>
        <v>1.0565880000000001</v>
      </c>
      <c r="Y25" s="22">
        <f>('SERVISECURITAS 2008'!X25*1.4/100)+'SERVISECURITAS 2008'!X25</f>
        <v>47.516039999999997</v>
      </c>
    </row>
    <row r="26" spans="1:25" ht="18" customHeight="1" x14ac:dyDescent="0.2">
      <c r="A26" s="44">
        <v>205</v>
      </c>
      <c r="B26" s="21" t="s">
        <v>33</v>
      </c>
      <c r="C26" s="22">
        <f>('SERVISECURITAS 2008'!C26*1.4/100)+'SERVISECURITAS 2008'!C26</f>
        <v>634.03391999999997</v>
      </c>
      <c r="D26" s="23">
        <f t="shared" si="8"/>
        <v>21.134463999999998</v>
      </c>
      <c r="E26" s="22">
        <f>('SERVISECURITAS 2008'!E26*1.4/100)+'SERVISECURITAS 2008'!E26</f>
        <v>73.961159999999992</v>
      </c>
      <c r="F26" s="23">
        <f t="shared" si="9"/>
        <v>2.4653719999999999</v>
      </c>
      <c r="G26" s="22">
        <f>('SERVISECURITAS 2008'!G26*1.4/100)+'SERVISECURITAS 2008'!G26</f>
        <v>29.588519999999999</v>
      </c>
      <c r="H26" s="23">
        <f t="shared" si="10"/>
        <v>0.98628399999999994</v>
      </c>
      <c r="I26" s="22"/>
      <c r="J26" s="22"/>
      <c r="K26" s="15">
        <f t="shared" si="11"/>
        <v>737.58359999999993</v>
      </c>
      <c r="L26" s="22"/>
      <c r="M26" s="22">
        <f>('SERVISECURITAS 2008'!M26*1.4/100)+'SERVISECURITAS 2008'!M26</f>
        <v>6.65184</v>
      </c>
      <c r="N26" s="22">
        <f>('SERVISECURITAS 2008'!N26*1.4/100)+'SERVISECURITAS 2008'!N26</f>
        <v>0.9531599999999999</v>
      </c>
      <c r="O26" s="22">
        <f>('SERVISECURITAS 2008'!O26*1.4/100)+'SERVISECURITAS 2008'!O26</f>
        <v>0.22308</v>
      </c>
      <c r="P26" s="22">
        <v>0.25</v>
      </c>
      <c r="Q26" s="22">
        <f>('SERVISECURITAS 2008'!P26*1.4/100)+'SERVISECURITAS 2008'!P26</f>
        <v>7.9903199999999996</v>
      </c>
      <c r="R26" s="22">
        <f>('SERVISECURITAS 2008'!Q26*1.4/100)+'SERVISECURITAS 2008'!Q26</f>
        <v>13.334100000000001</v>
      </c>
      <c r="S26" s="22">
        <f>('SERVISECURITAS 2008'!R26*1.4/100)+'SERVISECURITAS 2008'!R26</f>
        <v>26.678339999999999</v>
      </c>
      <c r="T26" s="22">
        <f>('SERVISECURITAS 2008'!S26*1.4/100)+'SERVISECURITAS 2008'!S26</f>
        <v>24.45768</v>
      </c>
      <c r="U26" s="22">
        <f>('SERVISECURITAS 2008'!T26*1.4/100)+'SERVISECURITAS 2008'!T26</f>
        <v>118.01946</v>
      </c>
      <c r="V26" s="22">
        <v>101.4</v>
      </c>
      <c r="W26" s="22">
        <f>('SERVISECURITAS 2008'!V26*1.4/100)+'SERVISECURITAS 2008'!V26</f>
        <v>31.69764</v>
      </c>
      <c r="X26" s="23">
        <f t="shared" si="12"/>
        <v>1.0565880000000001</v>
      </c>
      <c r="Y26" s="22">
        <f>('SERVISECURITAS 2008'!X26*1.4/100)+'SERVISECURITAS 2008'!X26</f>
        <v>47.516039999999997</v>
      </c>
    </row>
    <row r="27" spans="1:25" ht="18" customHeight="1" x14ac:dyDescent="0.2">
      <c r="A27" s="44">
        <v>44</v>
      </c>
      <c r="B27" s="21" t="s">
        <v>34</v>
      </c>
      <c r="C27" s="22">
        <f>('SERVISECURITAS 2008'!C27*1.4/100)+'SERVISECURITAS 2008'!C27</f>
        <v>634.03391999999997</v>
      </c>
      <c r="D27" s="23">
        <f t="shared" si="8"/>
        <v>21.134463999999998</v>
      </c>
      <c r="E27" s="22">
        <f>('SERVISECURITAS 2008'!E27*1.4/100)+'SERVISECURITAS 2008'!E27</f>
        <v>73.961159999999992</v>
      </c>
      <c r="F27" s="23">
        <f t="shared" si="9"/>
        <v>2.4653719999999999</v>
      </c>
      <c r="G27" s="22">
        <f>('SERVISECURITAS 2008'!G27*1.4/100)+'SERVISECURITAS 2008'!G27</f>
        <v>29.588519999999999</v>
      </c>
      <c r="H27" s="23">
        <f t="shared" si="10"/>
        <v>0.98628399999999994</v>
      </c>
      <c r="I27" s="22"/>
      <c r="J27" s="22"/>
      <c r="K27" s="15">
        <f t="shared" si="11"/>
        <v>737.58359999999993</v>
      </c>
      <c r="L27" s="22"/>
      <c r="M27" s="22">
        <f>('SERVISECURITAS 2008'!M27*1.4/100)+'SERVISECURITAS 2008'!M27</f>
        <v>6.65184</v>
      </c>
      <c r="N27" s="22">
        <f>('SERVISECURITAS 2008'!N27*1.4/100)+'SERVISECURITAS 2008'!N27</f>
        <v>0.9531599999999999</v>
      </c>
      <c r="O27" s="22">
        <f>('SERVISECURITAS 2008'!O27*1.4/100)+'SERVISECURITAS 2008'!O27</f>
        <v>0.22308</v>
      </c>
      <c r="P27" s="22">
        <v>0.25</v>
      </c>
      <c r="Q27" s="22">
        <f>('SERVISECURITAS 2008'!P27*1.4/100)+'SERVISECURITAS 2008'!P27</f>
        <v>7.9903199999999996</v>
      </c>
      <c r="R27" s="22">
        <f>('SERVISECURITAS 2008'!Q27*1.4/100)+'SERVISECURITAS 2008'!Q27</f>
        <v>13.334100000000001</v>
      </c>
      <c r="S27" s="22">
        <f>('SERVISECURITAS 2008'!R27*1.4/100)+'SERVISECURITAS 2008'!R27</f>
        <v>26.678339999999999</v>
      </c>
      <c r="T27" s="22">
        <f>('SERVISECURITAS 2008'!S27*1.4/100)+'SERVISECURITAS 2008'!S27</f>
        <v>24.45768</v>
      </c>
      <c r="U27" s="22">
        <f>('SERVISECURITAS 2008'!T27*1.4/100)+'SERVISECURITAS 2008'!T27</f>
        <v>118.01946</v>
      </c>
      <c r="V27" s="22">
        <v>101.4</v>
      </c>
      <c r="W27" s="22">
        <f>('SERVISECURITAS 2008'!V27*1.4/100)+'SERVISECURITAS 2008'!V27</f>
        <v>31.69764</v>
      </c>
      <c r="X27" s="23">
        <f t="shared" si="12"/>
        <v>1.0565880000000001</v>
      </c>
      <c r="Y27" s="22">
        <f>('SERVISECURITAS 2008'!X27*1.4/100)+'SERVISECURITAS 2008'!X27</f>
        <v>47.516039999999997</v>
      </c>
    </row>
    <row r="28" spans="1:25" ht="18" customHeight="1" x14ac:dyDescent="0.2">
      <c r="A28" s="44">
        <v>48</v>
      </c>
      <c r="B28" s="21" t="s">
        <v>35</v>
      </c>
      <c r="C28" s="22">
        <f>('SERVISECURITAS 2008'!C28*1.4/100)+'SERVISECURITAS 2008'!C28</f>
        <v>634.03391999999997</v>
      </c>
      <c r="D28" s="23">
        <f t="shared" si="8"/>
        <v>21.134463999999998</v>
      </c>
      <c r="E28" s="22">
        <f>('SERVISECURITAS 2008'!E28*1.4/100)+'SERVISECURITAS 2008'!E28</f>
        <v>73.961159999999992</v>
      </c>
      <c r="F28" s="23">
        <f t="shared" si="9"/>
        <v>2.4653719999999999</v>
      </c>
      <c r="G28" s="22">
        <f>('SERVISECURITAS 2008'!G28*1.4/100)+'SERVISECURITAS 2008'!G28</f>
        <v>29.588519999999999</v>
      </c>
      <c r="H28" s="23">
        <f t="shared" si="10"/>
        <v>0.98628399999999994</v>
      </c>
      <c r="I28" s="22"/>
      <c r="J28" s="22"/>
      <c r="K28" s="15">
        <f t="shared" si="11"/>
        <v>737.58359999999993</v>
      </c>
      <c r="L28" s="22"/>
      <c r="M28" s="22">
        <f>('SERVISECURITAS 2008'!M28*1.4/100)+'SERVISECURITAS 2008'!M28</f>
        <v>6.65184</v>
      </c>
      <c r="N28" s="22">
        <f>('SERVISECURITAS 2008'!N28*1.4/100)+'SERVISECURITAS 2008'!N28</f>
        <v>0.9531599999999999</v>
      </c>
      <c r="O28" s="22">
        <f>('SERVISECURITAS 2008'!O28*1.4/100)+'SERVISECURITAS 2008'!O28</f>
        <v>0.22308</v>
      </c>
      <c r="P28" s="22">
        <v>0.25</v>
      </c>
      <c r="Q28" s="22">
        <f>('SERVISECURITAS 2008'!P28*1.4/100)+'SERVISECURITAS 2008'!P28</f>
        <v>7.9903199999999996</v>
      </c>
      <c r="R28" s="22">
        <f>('SERVISECURITAS 2008'!Q28*1.4/100)+'SERVISECURITAS 2008'!Q28</f>
        <v>13.334100000000001</v>
      </c>
      <c r="S28" s="22">
        <f>('SERVISECURITAS 2008'!R28*1.4/100)+'SERVISECURITAS 2008'!R28</f>
        <v>26.678339999999999</v>
      </c>
      <c r="T28" s="22">
        <f>('SERVISECURITAS 2008'!S28*1.4/100)+'SERVISECURITAS 2008'!S28</f>
        <v>24.45768</v>
      </c>
      <c r="U28" s="22">
        <f>('SERVISECURITAS 2008'!T28*1.4/100)+'SERVISECURITAS 2008'!T28</f>
        <v>118.01946</v>
      </c>
      <c r="V28" s="22">
        <v>101.4</v>
      </c>
      <c r="W28" s="22">
        <f>('SERVISECURITAS 2008'!V28*1.4/100)+'SERVISECURITAS 2008'!V28</f>
        <v>31.69764</v>
      </c>
      <c r="X28" s="23">
        <f t="shared" si="12"/>
        <v>1.0565880000000001</v>
      </c>
      <c r="Y28" s="22">
        <f>('SERVISECURITAS 2008'!X28*1.4/100)+'SERVISECURITAS 2008'!X28</f>
        <v>47.516039999999997</v>
      </c>
    </row>
    <row r="29" spans="1:25" ht="18" customHeight="1" x14ac:dyDescent="0.2">
      <c r="A29" s="44" t="s">
        <v>53</v>
      </c>
      <c r="B29" s="21" t="s">
        <v>36</v>
      </c>
      <c r="C29" s="22">
        <f>('SERVISECURITAS 2008'!C29*1.4/100)+'SERVISECURITAS 2008'!C29</f>
        <v>634.02377999999999</v>
      </c>
      <c r="D29" s="23">
        <f t="shared" si="8"/>
        <v>21.134125999999998</v>
      </c>
      <c r="E29" s="22">
        <f>('SERVISECURITAS 2008'!E29*1.4/100)+'SERVISECURITAS 2008'!E29</f>
        <v>73.961159999999992</v>
      </c>
      <c r="F29" s="23">
        <f t="shared" si="9"/>
        <v>2.4653719999999999</v>
      </c>
      <c r="G29" s="22">
        <f>('SERVISECURITAS 2008'!G29*1.4/100)+'SERVISECURITAS 2008'!G29</f>
        <v>29.588519999999999</v>
      </c>
      <c r="H29" s="23">
        <f t="shared" si="10"/>
        <v>0.98628399999999994</v>
      </c>
      <c r="I29" s="22"/>
      <c r="J29" s="22"/>
      <c r="K29" s="15">
        <f t="shared" si="11"/>
        <v>737.57345999999995</v>
      </c>
      <c r="L29" s="22"/>
      <c r="M29" s="22">
        <f>('SERVISECURITAS 2008'!M29*1.4/100)+'SERVISECURITAS 2008'!M29</f>
        <v>6.65184</v>
      </c>
      <c r="N29" s="22">
        <f>('SERVISECURITAS 2008'!N29*1.4/100)+'SERVISECURITAS 2008'!N29</f>
        <v>0.9531599999999999</v>
      </c>
      <c r="O29" s="22">
        <f>('SERVISECURITAS 2008'!O29*1.4/100)+'SERVISECURITAS 2008'!O29</f>
        <v>0.22308</v>
      </c>
      <c r="P29" s="22">
        <v>0.25</v>
      </c>
      <c r="Q29" s="22">
        <f>('SERVISECURITAS 2008'!P29*1.4/100)+'SERVISECURITAS 2008'!P29</f>
        <v>7.9903199999999996</v>
      </c>
      <c r="R29" s="22">
        <f>('SERVISECURITAS 2008'!Q29*1.4/100)+'SERVISECURITAS 2008'!Q29</f>
        <v>13.334100000000001</v>
      </c>
      <c r="S29" s="22">
        <f>('SERVISECURITAS 2008'!R29*1.4/100)+'SERVISECURITAS 2008'!R29</f>
        <v>26.678339999999999</v>
      </c>
      <c r="T29" s="22">
        <f>('SERVISECURITAS 2008'!S29*1.4/100)+'SERVISECURITAS 2008'!S29</f>
        <v>24.45768</v>
      </c>
      <c r="U29" s="22">
        <f>('SERVISECURITAS 2008'!T29*1.4/100)+'SERVISECURITAS 2008'!T29</f>
        <v>118.01946</v>
      </c>
      <c r="V29" s="22">
        <v>101.4</v>
      </c>
      <c r="W29" s="22">
        <f>('SERVISECURITAS 2008'!V29*1.4/100)+'SERVISECURITAS 2008'!V29</f>
        <v>31.69764</v>
      </c>
      <c r="X29" s="23">
        <f t="shared" si="12"/>
        <v>1.0565880000000001</v>
      </c>
      <c r="Y29" s="22">
        <f>('SERVISECURITAS 2008'!X29*1.4/100)+'SERVISECURITAS 2008'!X29</f>
        <v>47.516039999999997</v>
      </c>
    </row>
    <row r="30" spans="1:25" ht="18" customHeight="1" x14ac:dyDescent="0.2">
      <c r="A30" s="44">
        <v>60</v>
      </c>
      <c r="B30" s="21" t="s">
        <v>50</v>
      </c>
      <c r="C30" s="22">
        <f>('SERVISECURITAS 2008'!C30*1.4/100)+'SERVISECURITAS 2008'!C30</f>
        <v>634.02377999999999</v>
      </c>
      <c r="D30" s="23">
        <f t="shared" si="8"/>
        <v>21.134125999999998</v>
      </c>
      <c r="E30" s="22">
        <f>('SERVISECURITAS 2008'!E30*1.4/100)+'SERVISECURITAS 2008'!E30</f>
        <v>73.961159999999992</v>
      </c>
      <c r="F30" s="23">
        <f t="shared" si="9"/>
        <v>2.4653719999999999</v>
      </c>
      <c r="G30" s="22">
        <f>('SERVISECURITAS 2008'!G30*1.4/100)+'SERVISECURITAS 2008'!G30</f>
        <v>29.588519999999999</v>
      </c>
      <c r="H30" s="23">
        <f t="shared" si="10"/>
        <v>0.98628399999999994</v>
      </c>
      <c r="I30" s="22"/>
      <c r="J30" s="22"/>
      <c r="K30" s="15">
        <f t="shared" si="11"/>
        <v>737.57345999999995</v>
      </c>
      <c r="L30" s="22"/>
      <c r="M30" s="22">
        <f>('SERVISECURITAS 2008'!M30*1.4/100)+'SERVISECURITAS 2008'!M30</f>
        <v>6.65184</v>
      </c>
      <c r="N30" s="22">
        <f>('SERVISECURITAS 2008'!N30*1.4/100)+'SERVISECURITAS 2008'!N30</f>
        <v>0.9531599999999999</v>
      </c>
      <c r="O30" s="22">
        <f>('SERVISECURITAS 2008'!O30*1.4/100)+'SERVISECURITAS 2008'!O30</f>
        <v>0.22308</v>
      </c>
      <c r="P30" s="22">
        <v>0.25</v>
      </c>
      <c r="Q30" s="22">
        <f>('SERVISECURITAS 2008'!P30*1.4/100)+'SERVISECURITAS 2008'!P30</f>
        <v>7.9903199999999996</v>
      </c>
      <c r="R30" s="22">
        <f>('SERVISECURITAS 2008'!Q30*1.4/100)+'SERVISECURITAS 2008'!Q30</f>
        <v>13.334100000000001</v>
      </c>
      <c r="S30" s="22">
        <f>('SERVISECURITAS 2008'!R30*1.4/100)+'SERVISECURITAS 2008'!R30</f>
        <v>26.678339999999999</v>
      </c>
      <c r="T30" s="22">
        <f>('SERVISECURITAS 2008'!S30*1.4/100)+'SERVISECURITAS 2008'!S30</f>
        <v>24.45768</v>
      </c>
      <c r="U30" s="22">
        <f>('SERVISECURITAS 2008'!T30*1.4/100)+'SERVISECURITAS 2008'!T30</f>
        <v>118.01946</v>
      </c>
      <c r="V30" s="22">
        <v>101.4</v>
      </c>
      <c r="W30" s="22">
        <f>('SERVISECURITAS 2008'!V30*1.4/100)+'SERVISECURITAS 2008'!V30</f>
        <v>31.69764</v>
      </c>
      <c r="X30" s="23">
        <f t="shared" si="12"/>
        <v>1.0565880000000001</v>
      </c>
      <c r="Y30" s="22">
        <f>('SERVISECURITAS 2008'!X30*1.4/100)+'SERVISECURITAS 2008'!X30</f>
        <v>47.516039999999997</v>
      </c>
    </row>
    <row r="31" spans="1:25" ht="18" customHeight="1" x14ac:dyDescent="0.2">
      <c r="A31" s="44">
        <v>61</v>
      </c>
      <c r="B31" s="21" t="s">
        <v>51</v>
      </c>
      <c r="C31" s="22">
        <f>('SERVISECURITAS 2008'!C31*1.4/100)+'SERVISECURITAS 2008'!C31</f>
        <v>634.02377999999999</v>
      </c>
      <c r="D31" s="23">
        <f t="shared" si="8"/>
        <v>21.134125999999998</v>
      </c>
      <c r="E31" s="22">
        <f>('SERVISECURITAS 2008'!E31*1.4/100)+'SERVISECURITAS 2008'!E31</f>
        <v>73.961159999999992</v>
      </c>
      <c r="F31" s="23">
        <f t="shared" si="9"/>
        <v>2.4653719999999999</v>
      </c>
      <c r="G31" s="22">
        <f>('SERVISECURITAS 2008'!G31*1.4/100)+'SERVISECURITAS 2008'!G31</f>
        <v>29.588519999999999</v>
      </c>
      <c r="H31" s="23">
        <f t="shared" si="10"/>
        <v>0.98628399999999994</v>
      </c>
      <c r="I31" s="22"/>
      <c r="J31" s="22"/>
      <c r="K31" s="15">
        <f t="shared" si="11"/>
        <v>737.57345999999995</v>
      </c>
      <c r="L31" s="22"/>
      <c r="M31" s="22">
        <f>('SERVISECURITAS 2008'!M31*1.4/100)+'SERVISECURITAS 2008'!M31</f>
        <v>6.65184</v>
      </c>
      <c r="N31" s="22">
        <f>('SERVISECURITAS 2008'!N31*1.4/100)+'SERVISECURITAS 2008'!N31</f>
        <v>0.9531599999999999</v>
      </c>
      <c r="O31" s="22">
        <f>('SERVISECURITAS 2008'!O31*1.4/100)+'SERVISECURITAS 2008'!O31</f>
        <v>0.22308</v>
      </c>
      <c r="P31" s="22">
        <v>0.25</v>
      </c>
      <c r="Q31" s="22">
        <f>('SERVISECURITAS 2008'!P31*1.4/100)+'SERVISECURITAS 2008'!P31</f>
        <v>7.9903199999999996</v>
      </c>
      <c r="R31" s="22">
        <f>('SERVISECURITAS 2008'!Q31*1.4/100)+'SERVISECURITAS 2008'!Q31</f>
        <v>13.334100000000001</v>
      </c>
      <c r="S31" s="22">
        <f>('SERVISECURITAS 2008'!R31*1.4/100)+'SERVISECURITAS 2008'!R31</f>
        <v>26.678339999999999</v>
      </c>
      <c r="T31" s="22">
        <f>('SERVISECURITAS 2008'!S31*1.4/100)+'SERVISECURITAS 2008'!S31</f>
        <v>24.45768</v>
      </c>
      <c r="U31" s="22">
        <f>('SERVISECURITAS 2008'!T31*1.4/100)+'SERVISECURITAS 2008'!T31</f>
        <v>118.01946</v>
      </c>
      <c r="V31" s="22">
        <v>101.4</v>
      </c>
      <c r="W31" s="22">
        <f>('SERVISECURITAS 2008'!V31*1.4/100)+'SERVISECURITAS 2008'!V31</f>
        <v>31.69764</v>
      </c>
      <c r="X31" s="23">
        <f t="shared" si="12"/>
        <v>1.0565880000000001</v>
      </c>
      <c r="Y31" s="22">
        <f>('SERVISECURITAS 2008'!X31*1.4/100)+'SERVISECURITAS 2008'!X31</f>
        <v>47.516039999999997</v>
      </c>
    </row>
    <row r="32" spans="1:25" ht="18" customHeight="1" x14ac:dyDescent="0.2">
      <c r="A32" s="44">
        <v>46</v>
      </c>
      <c r="B32" s="21" t="s">
        <v>37</v>
      </c>
      <c r="C32" s="22">
        <f>('SERVISECURITAS 2008'!C32*1.4/100)+'SERVISECURITAS 2008'!C32</f>
        <v>672.72816</v>
      </c>
      <c r="D32" s="23">
        <f t="shared" si="8"/>
        <v>22.424271999999998</v>
      </c>
      <c r="E32" s="22">
        <f>('SERVISECURITAS 2008'!E32*1.4/100)+'SERVISECURITAS 2008'!E32</f>
        <v>73.961159999999992</v>
      </c>
      <c r="F32" s="23">
        <f t="shared" si="9"/>
        <v>2.4653719999999999</v>
      </c>
      <c r="G32" s="22">
        <f>('SERVISECURITAS 2008'!G32*1.4/100)+'SERVISECURITAS 2008'!G32</f>
        <v>29.588519999999999</v>
      </c>
      <c r="H32" s="23">
        <f t="shared" si="10"/>
        <v>0.98628399999999994</v>
      </c>
      <c r="I32" s="22">
        <f>('SERVISECURITAS 2008'!I32*1.4/100)+'SERVISECURITAS 2008'!I32</f>
        <v>77.702819999999988</v>
      </c>
      <c r="J32" s="23">
        <f>I32/30</f>
        <v>2.5900939999999997</v>
      </c>
      <c r="K32" s="15">
        <f t="shared" si="11"/>
        <v>853.98065999999994</v>
      </c>
      <c r="L32" s="22"/>
      <c r="M32" s="22">
        <f>('SERVISECURITAS 2008'!M32*1.4/100)+'SERVISECURITAS 2008'!M32</f>
        <v>7.6861199999999998</v>
      </c>
      <c r="N32" s="22">
        <f>('SERVISECURITAS 2008'!N32*1.4/100)+'SERVISECURITAS 2008'!N32</f>
        <v>1.0241400000000001</v>
      </c>
      <c r="O32" s="22">
        <f>('SERVISECURITAS 2008'!O32*1.4/100)+'SERVISECURITAS 2008'!O32</f>
        <v>0.22308</v>
      </c>
      <c r="P32" s="22">
        <v>0.25</v>
      </c>
      <c r="Q32" s="22">
        <f>('SERVISECURITAS 2008'!P32*1.4/100)+'SERVISECURITAS 2008'!P32</f>
        <v>7.9903199999999996</v>
      </c>
      <c r="R32" s="22">
        <f>('SERVISECURITAS 2008'!Q32*1.4/100)+'SERVISECURITAS 2008'!Q32</f>
        <v>13.334100000000001</v>
      </c>
      <c r="S32" s="22">
        <f>('SERVISECURITAS 2008'!R32*1.4/100)+'SERVISECURITAS 2008'!R32</f>
        <v>26.678339999999999</v>
      </c>
      <c r="T32" s="22">
        <f>('SERVISECURITAS 2008'!S32*1.4/100)+'SERVISECURITAS 2008'!S32</f>
        <v>24.45768</v>
      </c>
      <c r="U32" s="22">
        <f>('SERVISECURITAS 2008'!T32*1.4/100)+'SERVISECURITAS 2008'!T32</f>
        <v>118.01946</v>
      </c>
      <c r="V32" s="22">
        <v>101.4</v>
      </c>
      <c r="W32" s="22">
        <v>33.64</v>
      </c>
      <c r="X32" s="23">
        <f t="shared" si="12"/>
        <v>1.1213333333333333</v>
      </c>
      <c r="Y32" s="22">
        <f>('SERVISECURITAS 2008'!X32*1.4/100)+'SERVISECURITAS 2008'!X32</f>
        <v>47.516039999999997</v>
      </c>
    </row>
    <row r="33" spans="1:25" ht="18" customHeight="1" x14ac:dyDescent="0.2">
      <c r="A33" s="43"/>
      <c r="B33" s="27" t="s">
        <v>38</v>
      </c>
      <c r="C33" s="28"/>
      <c r="D33" s="29"/>
      <c r="E33" s="28"/>
      <c r="F33" s="29"/>
      <c r="G33" s="28"/>
      <c r="H33" s="29"/>
      <c r="I33" s="28"/>
      <c r="J33" s="28"/>
      <c r="K33" s="45"/>
      <c r="L33" s="47"/>
      <c r="M33" s="18"/>
      <c r="N33" s="22"/>
      <c r="O33" s="22"/>
      <c r="P33" s="22"/>
      <c r="Q33" s="22"/>
      <c r="R33" s="22"/>
      <c r="S33" s="22"/>
      <c r="T33" s="22"/>
      <c r="U33" s="22"/>
      <c r="V33" s="28"/>
      <c r="W33" s="22"/>
      <c r="X33" s="30"/>
      <c r="Y33" s="22"/>
    </row>
    <row r="34" spans="1:25" ht="18" customHeight="1" x14ac:dyDescent="0.2">
      <c r="A34" s="44">
        <v>51</v>
      </c>
      <c r="B34" s="21" t="s">
        <v>39</v>
      </c>
      <c r="C34" s="22">
        <f>('SERVISECURITAS 2008'!C34*1.4/100)+'SERVISECURITAS 2008'!C34</f>
        <v>639.6413399999999</v>
      </c>
      <c r="D34" s="23">
        <f>C34/30</f>
        <v>21.321377999999996</v>
      </c>
      <c r="E34" s="22">
        <f>('SERVISECURITAS 2008'!E34*1.4/100)+'SERVISECURITAS 2008'!E34</f>
        <v>73.961159999999992</v>
      </c>
      <c r="F34" s="23">
        <f>E34/30</f>
        <v>2.4653719999999999</v>
      </c>
      <c r="G34" s="22"/>
      <c r="H34" s="24"/>
      <c r="I34" s="22"/>
      <c r="J34" s="22"/>
      <c r="K34" s="15">
        <f>C34+E34+G34+I34</f>
        <v>713.60249999999985</v>
      </c>
      <c r="L34" s="22"/>
      <c r="M34" s="22">
        <f>('SERVISECURITAS 2008'!M34*1.4/100)+'SERVISECURITAS 2008'!M34</f>
        <v>6.65184</v>
      </c>
      <c r="N34" s="22">
        <f>('SERVISECURITAS 2008'!N34*1.4/100)+'SERVISECURITAS 2008'!N34</f>
        <v>0.98358000000000001</v>
      </c>
      <c r="O34" s="22">
        <f>('SERVISECURITAS 2008'!O34*1.4/100)+'SERVISECURITAS 2008'!O34</f>
        <v>0.22308</v>
      </c>
      <c r="P34" s="22">
        <v>0.25</v>
      </c>
      <c r="Q34" s="22">
        <f>('SERVISECURITAS 2008'!P34*1.4/100)+'SERVISECURITAS 2008'!P34</f>
        <v>7.9903199999999996</v>
      </c>
      <c r="R34" s="22">
        <f>('SERVISECURITAS 2008'!Q34*1.4/100)+'SERVISECURITAS 2008'!Q34</f>
        <v>13.334100000000001</v>
      </c>
      <c r="S34" s="22">
        <f>('SERVISECURITAS 2008'!R34*1.4/100)+'SERVISECURITAS 2008'!R34</f>
        <v>26.678339999999999</v>
      </c>
      <c r="T34" s="22">
        <f>('SERVISECURITAS 2008'!S34*1.4/100)+'SERVISECURITAS 2008'!S34</f>
        <v>24.45768</v>
      </c>
      <c r="U34" s="22">
        <f>('SERVISECURITAS 2008'!T34*1.4/100)+'SERVISECURITAS 2008'!T34</f>
        <v>118.01946</v>
      </c>
      <c r="V34" s="22">
        <v>101.4</v>
      </c>
      <c r="W34" s="22">
        <f>('SERVISECURITAS 2008'!V34*1.4/100)+'SERVISECURITAS 2008'!V34</f>
        <v>31.981559999999998</v>
      </c>
      <c r="X34" s="23">
        <f>W34/30</f>
        <v>1.066052</v>
      </c>
      <c r="Y34" s="22">
        <f>('SERVISECURITAS 2008'!X34*1.4/100)+'SERVISECURITAS 2008'!X34</f>
        <v>47.516039999999997</v>
      </c>
    </row>
    <row r="35" spans="1:25" ht="18" customHeight="1" x14ac:dyDescent="0.2">
      <c r="A35" s="44">
        <v>903</v>
      </c>
      <c r="B35" s="21" t="s">
        <v>40</v>
      </c>
      <c r="C35" s="22">
        <v>624</v>
      </c>
      <c r="D35" s="23">
        <f>C35/30</f>
        <v>20.8</v>
      </c>
      <c r="E35" s="22">
        <f>('SERVISECURITAS 2008'!E35*1.4/100)+'SERVISECURITAS 2008'!E35</f>
        <v>73.961159999999992</v>
      </c>
      <c r="F35" s="23">
        <f>E35/30</f>
        <v>2.4653719999999999</v>
      </c>
      <c r="G35" s="22"/>
      <c r="H35" s="24"/>
      <c r="I35" s="22"/>
      <c r="J35" s="22"/>
      <c r="K35" s="15">
        <f>C35+E35+G35+I35</f>
        <v>697.96115999999995</v>
      </c>
      <c r="L35" s="22"/>
      <c r="M35" s="22">
        <f>('SERVISECURITAS 2008'!M35*1.4/100)+'SERVISECURITAS 2008'!M35</f>
        <v>6.65184</v>
      </c>
      <c r="N35" s="22">
        <f>('SERVISECURITAS 2008'!N35*1.4/100)+'SERVISECURITAS 2008'!N35</f>
        <v>0.93288000000000004</v>
      </c>
      <c r="O35" s="22">
        <f>('SERVISECURITAS 2008'!O35*1.4/100)+'SERVISECURITAS 2008'!O35</f>
        <v>0.22308</v>
      </c>
      <c r="P35" s="22">
        <v>0.25</v>
      </c>
      <c r="Q35" s="22">
        <f>('SERVISECURITAS 2008'!P35*1.4/100)+'SERVISECURITAS 2008'!P35</f>
        <v>7.9903199999999996</v>
      </c>
      <c r="R35" s="22">
        <f>('SERVISECURITAS 2008'!Q35*1.4/100)+'SERVISECURITAS 2008'!Q35</f>
        <v>13.334100000000001</v>
      </c>
      <c r="S35" s="22">
        <f>('SERVISECURITAS 2008'!R35*1.4/100)+'SERVISECURITAS 2008'!R35</f>
        <v>26.678339999999999</v>
      </c>
      <c r="T35" s="22">
        <f>('SERVISECURITAS 2008'!S35*1.4/100)+'SERVISECURITAS 2008'!S35</f>
        <v>24.45768</v>
      </c>
      <c r="U35" s="22">
        <f>('SERVISECURITAS 2008'!T35*1.4/100)+'SERVISECURITAS 2008'!T35</f>
        <v>118.01946</v>
      </c>
      <c r="V35" s="22">
        <v>101.4</v>
      </c>
      <c r="W35" s="22">
        <v>31.2</v>
      </c>
      <c r="X35" s="23">
        <f>W35/30</f>
        <v>1.04</v>
      </c>
      <c r="Y35" s="22">
        <f>('SERVISECURITAS 2008'!X35*1.4/100)+'SERVISECURITAS 2008'!X35</f>
        <v>47.516039999999997</v>
      </c>
    </row>
    <row r="37" spans="1:25" ht="8.25" customHeight="1" x14ac:dyDescent="0.2"/>
    <row r="38" spans="1:25" ht="23.25" customHeight="1" x14ac:dyDescent="0.2">
      <c r="B38" s="40" t="s">
        <v>58</v>
      </c>
    </row>
    <row r="39" spans="1:25" ht="15" customHeight="1" x14ac:dyDescent="0.2"/>
    <row r="40" spans="1:25" ht="15" customHeight="1" x14ac:dyDescent="0.2"/>
    <row r="41" spans="1:25" ht="15" customHeight="1" x14ac:dyDescent="0.2"/>
    <row r="42" spans="1:25" ht="15" customHeight="1" x14ac:dyDescent="0.2"/>
    <row r="44" spans="1:25" ht="21" customHeight="1" x14ac:dyDescent="0.2"/>
  </sheetData>
  <sheetProtection password="CC0B" sheet="1"/>
  <phoneticPr fontId="0" type="noConversion"/>
  <printOptions horizontalCentered="1"/>
  <pageMargins left="0.19685039370078741" right="0.19685039370078741" top="0.94488188976377963" bottom="0.15748031496062992" header="0.43307086614173229" footer="0"/>
  <pageSetup paperSize="9" scale="77" orientation="landscape" r:id="rId1"/>
  <headerFooter alignWithMargins="0">
    <oddHeader xml:space="preserve">&amp;C&amp;"Times New Roman,Negrita"&amp;14&amp;ETABLA SALARIAL CONVENIO SERVICIOS SECURITAS, S.A.  (2009)&amp;10
</oddHeader>
  </headerFooter>
  <colBreaks count="1" manualBreakCount="1">
    <brk id="2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44"/>
  <sheetViews>
    <sheetView zoomScale="90" zoomScaleNormal="90" workbookViewId="0">
      <pane xSplit="2" ySplit="1" topLeftCell="C17" activePane="bottomRight" state="frozen"/>
      <selection pane="topRight" activeCell="C1" sqref="C1"/>
      <selection pane="bottomLeft" activeCell="A2" sqref="A2"/>
      <selection pane="bottomRight" activeCell="R22" sqref="R22"/>
    </sheetView>
  </sheetViews>
  <sheetFormatPr baseColWidth="10" defaultColWidth="10.140625" defaultRowHeight="12.75" x14ac:dyDescent="0.2"/>
  <cols>
    <col min="1" max="1" width="5.140625" bestFit="1" customWidth="1"/>
    <col min="2" max="2" width="25.85546875" customWidth="1"/>
    <col min="3" max="3" width="7.85546875" customWidth="1"/>
    <col min="4" max="4" width="8.85546875" hidden="1" customWidth="1"/>
    <col min="5" max="5" width="7.85546875" customWidth="1"/>
    <col min="6" max="6" width="9.42578125" hidden="1" customWidth="1"/>
    <col min="7" max="7" width="6.5703125" customWidth="1"/>
    <col min="8" max="8" width="7.85546875" hidden="1" customWidth="1"/>
    <col min="9" max="9" width="7.140625" customWidth="1"/>
    <col min="10" max="10" width="7.85546875" hidden="1" customWidth="1"/>
    <col min="11" max="11" width="7.85546875" customWidth="1"/>
    <col min="12" max="12" width="0.5703125" customWidth="1"/>
    <col min="13" max="13" width="7.85546875" bestFit="1" customWidth="1"/>
    <col min="14" max="14" width="6.85546875" customWidth="1"/>
    <col min="15" max="15" width="8.5703125" style="56" customWidth="1"/>
    <col min="16" max="16" width="6.5703125" style="56" customWidth="1"/>
    <col min="17" max="17" width="7" customWidth="1"/>
    <col min="18" max="18" width="7.140625" customWidth="1"/>
    <col min="19" max="19" width="11.85546875" customWidth="1"/>
    <col min="20" max="20" width="11" customWidth="1"/>
    <col min="21" max="21" width="10" customWidth="1"/>
    <col min="22" max="22" width="7.140625" customWidth="1"/>
    <col min="23" max="23" width="9.140625" customWidth="1"/>
    <col min="24" max="24" width="8.85546875" hidden="1" customWidth="1"/>
    <col min="25" max="25" width="10" customWidth="1"/>
    <col min="26" max="26" width="1.140625" customWidth="1"/>
    <col min="27" max="27" width="6.42578125" customWidth="1"/>
    <col min="28" max="28" width="27.85546875" customWidth="1"/>
    <col min="29" max="29" width="7.85546875" bestFit="1" customWidth="1"/>
    <col min="30" max="30" width="7.85546875" customWidth="1"/>
    <col min="31" max="31" width="8.85546875" bestFit="1" customWidth="1"/>
    <col min="32" max="32" width="6.85546875" bestFit="1" customWidth="1"/>
    <col min="33" max="33" width="10.5703125" customWidth="1"/>
    <col min="34" max="34" width="7.85546875" bestFit="1" customWidth="1"/>
    <col min="35" max="35" width="8" bestFit="1" customWidth="1"/>
    <col min="36" max="36" width="9" customWidth="1"/>
    <col min="37" max="37" width="8.140625" customWidth="1"/>
    <col min="38" max="38" width="9" customWidth="1"/>
  </cols>
  <sheetData>
    <row r="1" spans="1:25" s="40" customFormat="1" ht="39.75" customHeight="1" x14ac:dyDescent="0.2">
      <c r="A1" s="48" t="s">
        <v>0</v>
      </c>
      <c r="B1" s="49" t="s">
        <v>1</v>
      </c>
      <c r="C1" s="41" t="s">
        <v>2</v>
      </c>
      <c r="D1" s="50">
        <v>110021</v>
      </c>
      <c r="E1" s="41" t="s">
        <v>3</v>
      </c>
      <c r="F1" s="51">
        <v>15220</v>
      </c>
      <c r="G1" s="41" t="s">
        <v>4</v>
      </c>
      <c r="H1" s="51">
        <v>116220</v>
      </c>
      <c r="I1" s="41" t="s">
        <v>5</v>
      </c>
      <c r="J1" s="50">
        <v>117520</v>
      </c>
      <c r="K1" s="52" t="s">
        <v>6</v>
      </c>
      <c r="L1" s="41"/>
      <c r="M1" s="57" t="s">
        <v>55</v>
      </c>
      <c r="N1" s="41" t="s">
        <v>56</v>
      </c>
      <c r="O1" s="41" t="s">
        <v>9</v>
      </c>
      <c r="P1" s="41" t="s">
        <v>54</v>
      </c>
      <c r="Q1" s="41" t="s">
        <v>41</v>
      </c>
      <c r="R1" s="41" t="s">
        <v>42</v>
      </c>
      <c r="S1" s="41" t="s">
        <v>43</v>
      </c>
      <c r="T1" s="41" t="s">
        <v>44</v>
      </c>
      <c r="U1" s="41" t="s">
        <v>10</v>
      </c>
      <c r="V1" s="41" t="s">
        <v>45</v>
      </c>
      <c r="W1" s="41" t="s">
        <v>11</v>
      </c>
      <c r="X1" s="54">
        <v>110900</v>
      </c>
      <c r="Y1" s="55" t="s">
        <v>12</v>
      </c>
    </row>
    <row r="2" spans="1:25" ht="18" customHeight="1" x14ac:dyDescent="0.2">
      <c r="A2" s="43"/>
      <c r="B2" s="11" t="s">
        <v>13</v>
      </c>
      <c r="C2" s="12"/>
      <c r="D2" s="13"/>
      <c r="E2" s="12"/>
      <c r="F2" s="13"/>
      <c r="G2" s="12"/>
      <c r="H2" s="13"/>
      <c r="I2" s="12"/>
      <c r="J2" s="12"/>
      <c r="K2" s="12"/>
      <c r="L2" s="22"/>
      <c r="M2" s="12"/>
      <c r="N2" s="12"/>
      <c r="O2" s="16"/>
      <c r="P2" s="16"/>
      <c r="Q2" s="16"/>
      <c r="R2" s="16"/>
      <c r="S2" s="16"/>
      <c r="T2" s="16"/>
      <c r="U2" s="16"/>
      <c r="V2" s="16"/>
      <c r="W2" s="17"/>
      <c r="X2" s="18"/>
      <c r="Y2" s="19"/>
    </row>
    <row r="3" spans="1:25" ht="18" customHeight="1" x14ac:dyDescent="0.2">
      <c r="A3" s="44">
        <v>102</v>
      </c>
      <c r="B3" s="21" t="s">
        <v>14</v>
      </c>
      <c r="C3" s="22">
        <v>1501.06</v>
      </c>
      <c r="D3" s="23">
        <f t="shared" ref="D3:D10" si="0">C3/30</f>
        <v>50.035333333333334</v>
      </c>
      <c r="E3" s="22">
        <v>74.55</v>
      </c>
      <c r="F3" s="23">
        <f t="shared" ref="F3:F10" si="1">E3/30</f>
        <v>2.4849999999999999</v>
      </c>
      <c r="G3" s="22"/>
      <c r="H3" s="24"/>
      <c r="I3" s="22"/>
      <c r="J3" s="22"/>
      <c r="K3" s="15">
        <v>1575.61</v>
      </c>
      <c r="L3" s="22"/>
      <c r="M3" s="46"/>
      <c r="N3" s="22"/>
      <c r="O3" s="22">
        <f>('SERVISECURITAS 2009'!O3*0.8/100)+'SERVISECURITAS 2009'!O3</f>
        <v>0.22486464</v>
      </c>
      <c r="P3" s="22"/>
      <c r="Q3" s="22">
        <f>('SERVISECURITAS 2009'!Q3*0.8/100)+'SERVISECURITAS 2009'!Q3</f>
        <v>8.0542425600000005</v>
      </c>
      <c r="R3" s="22">
        <f>('SERVISECURITAS 2009'!R3*0.8/100)+'SERVISECURITAS 2009'!R3</f>
        <v>13.440772800000001</v>
      </c>
      <c r="S3" s="22">
        <f>('SERVISECURITAS 2009'!S3*0.8/100)+'SERVISECURITAS 2009'!S3</f>
        <v>26.89176672</v>
      </c>
      <c r="T3" s="22">
        <v>24.66</v>
      </c>
      <c r="U3" s="22">
        <f>('SERVISECURITAS 2009'!U3*0.8/100)+'SERVISECURITAS 2009'!U3</f>
        <v>118.96361567999999</v>
      </c>
      <c r="V3" s="22">
        <f>('SERVISECURITAS 2009'!V3*0.8/100)+'SERVISECURITAS 2009'!V3</f>
        <v>102.21120000000001</v>
      </c>
      <c r="W3" s="22">
        <f>C3*5/100</f>
        <v>75.052999999999997</v>
      </c>
      <c r="X3" s="23">
        <f t="shared" ref="X3:X10" si="2">W3/30</f>
        <v>2.5017666666666667</v>
      </c>
      <c r="Y3" s="22">
        <f>('SERVISECURITAS 2009'!Y3*0.8/100)+'SERVISECURITAS 2009'!Y3</f>
        <v>47.896168319999994</v>
      </c>
    </row>
    <row r="4" spans="1:25" ht="18" customHeight="1" x14ac:dyDescent="0.2">
      <c r="A4" s="44">
        <v>105</v>
      </c>
      <c r="B4" s="21" t="s">
        <v>15</v>
      </c>
      <c r="C4" s="22">
        <v>1426.62</v>
      </c>
      <c r="D4" s="23">
        <f t="shared" si="0"/>
        <v>47.553999999999995</v>
      </c>
      <c r="E4" s="22">
        <v>74.55</v>
      </c>
      <c r="F4" s="23">
        <f t="shared" si="1"/>
        <v>2.4849999999999999</v>
      </c>
      <c r="G4" s="22"/>
      <c r="H4" s="24"/>
      <c r="I4" s="22"/>
      <c r="J4" s="22"/>
      <c r="K4" s="15">
        <v>1501.17</v>
      </c>
      <c r="L4" s="22"/>
      <c r="M4" s="46"/>
      <c r="N4" s="22"/>
      <c r="O4" s="22">
        <f>('SERVISECURITAS 2009'!O4*0.8/100)+'SERVISECURITAS 2009'!O4</f>
        <v>0.22486464</v>
      </c>
      <c r="P4" s="22"/>
      <c r="Q4" s="22">
        <f>('SERVISECURITAS 2009'!Q4*0.8/100)+'SERVISECURITAS 2009'!Q4</f>
        <v>8.0542425600000005</v>
      </c>
      <c r="R4" s="22">
        <f>('SERVISECURITAS 2009'!R4*0.8/100)+'SERVISECURITAS 2009'!R4</f>
        <v>13.440772800000001</v>
      </c>
      <c r="S4" s="22">
        <f>('SERVISECURITAS 2009'!S4*0.8/100)+'SERVISECURITAS 2009'!S4</f>
        <v>26.89176672</v>
      </c>
      <c r="T4" s="22">
        <v>24.66</v>
      </c>
      <c r="U4" s="22">
        <f>('SERVISECURITAS 2009'!U4*0.8/100)+'SERVISECURITAS 2009'!U4</f>
        <v>118.96361567999999</v>
      </c>
      <c r="V4" s="22">
        <f>('SERVISECURITAS 2009'!V4*0.8/100)+'SERVISECURITAS 2009'!V4</f>
        <v>102.21120000000001</v>
      </c>
      <c r="W4" s="22">
        <f t="shared" ref="W4:W10" si="3">C4*5/100</f>
        <v>71.330999999999989</v>
      </c>
      <c r="X4" s="23">
        <f t="shared" si="2"/>
        <v>2.3776999999999995</v>
      </c>
      <c r="Y4" s="22">
        <f>('SERVISECURITAS 2009'!Y4*0.8/100)+'SERVISECURITAS 2009'!Y4</f>
        <v>47.896168319999994</v>
      </c>
    </row>
    <row r="5" spans="1:25" ht="18" customHeight="1" x14ac:dyDescent="0.2">
      <c r="A5" s="44">
        <v>109</v>
      </c>
      <c r="B5" s="21" t="s">
        <v>16</v>
      </c>
      <c r="C5" s="22">
        <v>1426.62</v>
      </c>
      <c r="D5" s="23">
        <f t="shared" si="0"/>
        <v>47.553999999999995</v>
      </c>
      <c r="E5" s="22">
        <v>74.55</v>
      </c>
      <c r="F5" s="23">
        <f t="shared" si="1"/>
        <v>2.4849999999999999</v>
      </c>
      <c r="G5" s="22"/>
      <c r="H5" s="24"/>
      <c r="I5" s="22"/>
      <c r="J5" s="22"/>
      <c r="K5" s="15">
        <f>+C5+E5+G5+I5</f>
        <v>1501.1699999999998</v>
      </c>
      <c r="L5" s="22"/>
      <c r="M5" s="46"/>
      <c r="N5" s="22"/>
      <c r="O5" s="22">
        <f>('SERVISECURITAS 2009'!O5*0.8/100)+'SERVISECURITAS 2009'!O5</f>
        <v>0.22486464</v>
      </c>
      <c r="P5" s="22"/>
      <c r="Q5" s="22">
        <f>('SERVISECURITAS 2009'!Q5*0.8/100)+'SERVISECURITAS 2009'!Q5</f>
        <v>8.0542425600000005</v>
      </c>
      <c r="R5" s="22">
        <f>('SERVISECURITAS 2009'!R5*0.8/100)+'SERVISECURITAS 2009'!R5</f>
        <v>13.440772800000001</v>
      </c>
      <c r="S5" s="22">
        <f>('SERVISECURITAS 2009'!S5*0.8/100)+'SERVISECURITAS 2009'!S5</f>
        <v>26.89176672</v>
      </c>
      <c r="T5" s="22">
        <v>24.66</v>
      </c>
      <c r="U5" s="22">
        <f>('SERVISECURITAS 2009'!U5*0.8/100)+'SERVISECURITAS 2009'!U5</f>
        <v>118.96361567999999</v>
      </c>
      <c r="V5" s="22">
        <f>('SERVISECURITAS 2009'!V5*0.8/100)+'SERVISECURITAS 2009'!V5</f>
        <v>102.21120000000001</v>
      </c>
      <c r="W5" s="22">
        <f t="shared" si="3"/>
        <v>71.330999999999989</v>
      </c>
      <c r="X5" s="23">
        <f t="shared" si="2"/>
        <v>2.3776999999999995</v>
      </c>
      <c r="Y5" s="22">
        <f>('SERVISECURITAS 2009'!Y5*0.8/100)+'SERVISECURITAS 2009'!Y5</f>
        <v>47.896168319999994</v>
      </c>
    </row>
    <row r="6" spans="1:25" ht="18" customHeight="1" x14ac:dyDescent="0.2">
      <c r="A6" s="44">
        <v>103</v>
      </c>
      <c r="B6" s="21" t="s">
        <v>46</v>
      </c>
      <c r="C6" s="22">
        <v>1426.62</v>
      </c>
      <c r="D6" s="23">
        <f t="shared" si="0"/>
        <v>47.553999999999995</v>
      </c>
      <c r="E6" s="22">
        <v>74.55</v>
      </c>
      <c r="F6" s="23">
        <f t="shared" si="1"/>
        <v>2.4849999999999999</v>
      </c>
      <c r="G6" s="22"/>
      <c r="H6" s="24"/>
      <c r="I6" s="22"/>
      <c r="J6" s="22"/>
      <c r="K6" s="15">
        <f>+C6+E6+G6+I6</f>
        <v>1501.1699999999998</v>
      </c>
      <c r="L6" s="22"/>
      <c r="M6" s="46"/>
      <c r="N6" s="22"/>
      <c r="O6" s="22">
        <f>('SERVISECURITAS 2009'!O6*0.8/100)+'SERVISECURITAS 2009'!O6</f>
        <v>0.22486464</v>
      </c>
      <c r="P6" s="22"/>
      <c r="Q6" s="22">
        <f>('SERVISECURITAS 2009'!Q6*0.8/100)+'SERVISECURITAS 2009'!Q6</f>
        <v>8.0542425600000005</v>
      </c>
      <c r="R6" s="22">
        <f>('SERVISECURITAS 2009'!R6*0.8/100)+'SERVISECURITAS 2009'!R6</f>
        <v>13.440772800000001</v>
      </c>
      <c r="S6" s="22">
        <f>('SERVISECURITAS 2009'!S6*0.8/100)+'SERVISECURITAS 2009'!S6</f>
        <v>26.89176672</v>
      </c>
      <c r="T6" s="22">
        <v>24.66</v>
      </c>
      <c r="U6" s="22">
        <f>('SERVISECURITAS 2009'!U6*0.8/100)+'SERVISECURITAS 2009'!U6</f>
        <v>118.96361567999999</v>
      </c>
      <c r="V6" s="22">
        <f>('SERVISECURITAS 2009'!V6*0.8/100)+'SERVISECURITAS 2009'!V6</f>
        <v>102.21120000000001</v>
      </c>
      <c r="W6" s="22">
        <f t="shared" si="3"/>
        <v>71.330999999999989</v>
      </c>
      <c r="X6" s="23">
        <f t="shared" si="2"/>
        <v>2.3776999999999995</v>
      </c>
      <c r="Y6" s="22">
        <f>('SERVISECURITAS 2009'!Y6*0.8/100)+'SERVISECURITAS 2009'!Y6</f>
        <v>47.896168319999994</v>
      </c>
    </row>
    <row r="7" spans="1:25" ht="18" customHeight="1" x14ac:dyDescent="0.2">
      <c r="A7" s="44">
        <v>122</v>
      </c>
      <c r="B7" s="21" t="s">
        <v>17</v>
      </c>
      <c r="C7" s="22">
        <v>1356.05</v>
      </c>
      <c r="D7" s="23">
        <f t="shared" si="0"/>
        <v>45.201666666666668</v>
      </c>
      <c r="E7" s="22">
        <v>74.55</v>
      </c>
      <c r="F7" s="23">
        <f t="shared" si="1"/>
        <v>2.4849999999999999</v>
      </c>
      <c r="G7" s="22"/>
      <c r="H7" s="24"/>
      <c r="I7" s="22"/>
      <c r="J7" s="22"/>
      <c r="K7" s="15">
        <f>+C7+E7+G7+I7</f>
        <v>1430.6</v>
      </c>
      <c r="L7" s="22"/>
      <c r="M7" s="46"/>
      <c r="N7" s="22"/>
      <c r="O7" s="22">
        <f>('SERVISECURITAS 2009'!O7*0.8/100)+'SERVISECURITAS 2009'!O7</f>
        <v>0.22486464</v>
      </c>
      <c r="P7" s="22"/>
      <c r="Q7" s="22">
        <f>('SERVISECURITAS 2009'!Q7*0.8/100)+'SERVISECURITAS 2009'!Q7</f>
        <v>8.0542425600000005</v>
      </c>
      <c r="R7" s="22">
        <f>('SERVISECURITAS 2009'!R7*0.8/100)+'SERVISECURITAS 2009'!R7</f>
        <v>13.440772800000001</v>
      </c>
      <c r="S7" s="22">
        <f>('SERVISECURITAS 2009'!S7*0.8/100)+'SERVISECURITAS 2009'!S7</f>
        <v>26.89176672</v>
      </c>
      <c r="T7" s="22">
        <v>24.66</v>
      </c>
      <c r="U7" s="22">
        <f>('SERVISECURITAS 2009'!U7*0.8/100)+'SERVISECURITAS 2009'!U7</f>
        <v>118.96361567999999</v>
      </c>
      <c r="V7" s="22">
        <f>('SERVISECURITAS 2009'!V7*0.8/100)+'SERVISECURITAS 2009'!V7</f>
        <v>102.21120000000001</v>
      </c>
      <c r="W7" s="22">
        <f t="shared" si="3"/>
        <v>67.802499999999995</v>
      </c>
      <c r="X7" s="23">
        <f t="shared" si="2"/>
        <v>2.2600833333333332</v>
      </c>
      <c r="Y7" s="22">
        <f>('SERVISECURITAS 2009'!Y7*0.8/100)+'SERVISECURITAS 2009'!Y7</f>
        <v>47.896168319999994</v>
      </c>
    </row>
    <row r="8" spans="1:25" ht="18" customHeight="1" x14ac:dyDescent="0.2">
      <c r="A8" s="44">
        <v>126</v>
      </c>
      <c r="B8" s="21" t="s">
        <v>47</v>
      </c>
      <c r="C8" s="22">
        <v>1356.05</v>
      </c>
      <c r="D8" s="23">
        <f t="shared" si="0"/>
        <v>45.201666666666668</v>
      </c>
      <c r="E8" s="22">
        <v>74.55</v>
      </c>
      <c r="F8" s="23">
        <f t="shared" si="1"/>
        <v>2.4849999999999999</v>
      </c>
      <c r="G8" s="22"/>
      <c r="H8" s="24"/>
      <c r="I8" s="22"/>
      <c r="J8" s="22"/>
      <c r="K8" s="15">
        <f>+C8+E8+G8+I8</f>
        <v>1430.6</v>
      </c>
      <c r="L8" s="22"/>
      <c r="M8" s="46"/>
      <c r="N8" s="22"/>
      <c r="O8" s="22">
        <f>('SERVISECURITAS 2009'!O8*0.8/100)+'SERVISECURITAS 2009'!O8</f>
        <v>0.22486464</v>
      </c>
      <c r="P8" s="22"/>
      <c r="Q8" s="22">
        <f>('SERVISECURITAS 2009'!Q8*0.8/100)+'SERVISECURITAS 2009'!Q8</f>
        <v>8.0542425600000005</v>
      </c>
      <c r="R8" s="22">
        <f>('SERVISECURITAS 2009'!R8*0.8/100)+'SERVISECURITAS 2009'!R8</f>
        <v>13.440772800000001</v>
      </c>
      <c r="S8" s="22">
        <f>('SERVISECURITAS 2009'!S8*0.8/100)+'SERVISECURITAS 2009'!S8</f>
        <v>26.89176672</v>
      </c>
      <c r="T8" s="22">
        <v>24.66</v>
      </c>
      <c r="U8" s="22">
        <f>('SERVISECURITAS 2009'!U8*0.8/100)+'SERVISECURITAS 2009'!U8</f>
        <v>118.96361567999999</v>
      </c>
      <c r="V8" s="22">
        <f>('SERVISECURITAS 2009'!V8*0.8/100)+'SERVISECURITAS 2009'!V8</f>
        <v>102.21120000000001</v>
      </c>
      <c r="W8" s="22">
        <f t="shared" si="3"/>
        <v>67.802499999999995</v>
      </c>
      <c r="X8" s="23">
        <f t="shared" si="2"/>
        <v>2.2600833333333332</v>
      </c>
      <c r="Y8" s="22">
        <f>('SERVISECURITAS 2009'!Y8*0.8/100)+'SERVISECURITAS 2009'!Y8</f>
        <v>47.896168319999994</v>
      </c>
    </row>
    <row r="9" spans="1:25" ht="18" customHeight="1" x14ac:dyDescent="0.2">
      <c r="A9" s="44">
        <v>113</v>
      </c>
      <c r="B9" s="21" t="s">
        <v>18</v>
      </c>
      <c r="C9" s="22">
        <v>1356.05</v>
      </c>
      <c r="D9" s="23">
        <f t="shared" si="0"/>
        <v>45.201666666666668</v>
      </c>
      <c r="E9" s="22">
        <v>74.55</v>
      </c>
      <c r="F9" s="23">
        <f t="shared" si="1"/>
        <v>2.4849999999999999</v>
      </c>
      <c r="G9" s="22"/>
      <c r="H9" s="24"/>
      <c r="I9" s="22"/>
      <c r="J9" s="22"/>
      <c r="K9" s="15">
        <f>C9+E9+G9+I9</f>
        <v>1430.6</v>
      </c>
      <c r="L9" s="22"/>
      <c r="M9" s="46"/>
      <c r="N9" s="22"/>
      <c r="O9" s="22">
        <f>('SERVISECURITAS 2009'!O9*0.8/100)+'SERVISECURITAS 2009'!O9</f>
        <v>0.22486464</v>
      </c>
      <c r="P9" s="22"/>
      <c r="Q9" s="22">
        <f>('SERVISECURITAS 2009'!Q9*0.8/100)+'SERVISECURITAS 2009'!Q9</f>
        <v>8.0542425600000005</v>
      </c>
      <c r="R9" s="22">
        <f>('SERVISECURITAS 2009'!R9*0.8/100)+'SERVISECURITAS 2009'!R9</f>
        <v>13.440772800000001</v>
      </c>
      <c r="S9" s="22">
        <f>('SERVISECURITAS 2009'!S9*0.8/100)+'SERVISECURITAS 2009'!S9</f>
        <v>26.89176672</v>
      </c>
      <c r="T9" s="22">
        <v>24.66</v>
      </c>
      <c r="U9" s="22">
        <f>('SERVISECURITAS 2009'!U9*0.8/100)+'SERVISECURITAS 2009'!U9</f>
        <v>118.96361567999999</v>
      </c>
      <c r="V9" s="22">
        <f>('SERVISECURITAS 2009'!V9*0.8/100)+'SERVISECURITAS 2009'!V9</f>
        <v>102.21120000000001</v>
      </c>
      <c r="W9" s="22">
        <f t="shared" si="3"/>
        <v>67.802499999999995</v>
      </c>
      <c r="X9" s="23">
        <f t="shared" si="2"/>
        <v>2.2600833333333332</v>
      </c>
      <c r="Y9" s="22">
        <f>('SERVISECURITAS 2009'!Y9*0.8/100)+'SERVISECURITAS 2009'!Y9</f>
        <v>47.896168319999994</v>
      </c>
    </row>
    <row r="10" spans="1:25" ht="18" customHeight="1" x14ac:dyDescent="0.2">
      <c r="A10" s="44">
        <v>114</v>
      </c>
      <c r="B10" s="21" t="s">
        <v>19</v>
      </c>
      <c r="C10" s="22">
        <v>1289.04</v>
      </c>
      <c r="D10" s="23">
        <f t="shared" si="0"/>
        <v>42.967999999999996</v>
      </c>
      <c r="E10" s="22">
        <v>74.55</v>
      </c>
      <c r="F10" s="23">
        <f t="shared" si="1"/>
        <v>2.4849999999999999</v>
      </c>
      <c r="G10" s="22"/>
      <c r="H10" s="24"/>
      <c r="I10" s="22"/>
      <c r="J10" s="22"/>
      <c r="K10" s="15">
        <f>C10+E10+G10+I10</f>
        <v>1363.59</v>
      </c>
      <c r="L10" s="22"/>
      <c r="M10" s="46"/>
      <c r="N10" s="22"/>
      <c r="O10" s="22">
        <f>('SERVISECURITAS 2009'!O10*0.8/100)+'SERVISECURITAS 2009'!O10</f>
        <v>0.22486464</v>
      </c>
      <c r="P10" s="22"/>
      <c r="Q10" s="22">
        <f>('SERVISECURITAS 2009'!Q10*0.8/100)+'SERVISECURITAS 2009'!Q10</f>
        <v>8.0542425600000005</v>
      </c>
      <c r="R10" s="22">
        <f>('SERVISECURITAS 2009'!R10*0.8/100)+'SERVISECURITAS 2009'!R10</f>
        <v>13.440772800000001</v>
      </c>
      <c r="S10" s="22">
        <f>('SERVISECURITAS 2009'!S10*0.8/100)+'SERVISECURITAS 2009'!S10</f>
        <v>26.89176672</v>
      </c>
      <c r="T10" s="22">
        <v>24.66</v>
      </c>
      <c r="U10" s="22">
        <f>('SERVISECURITAS 2009'!U10*0.8/100)+'SERVISECURITAS 2009'!U10</f>
        <v>118.96361567999999</v>
      </c>
      <c r="V10" s="22">
        <f>('SERVISECURITAS 2009'!V10*0.8/100)+'SERVISECURITAS 2009'!V10</f>
        <v>102.21120000000001</v>
      </c>
      <c r="W10" s="22">
        <f t="shared" si="3"/>
        <v>64.451999999999998</v>
      </c>
      <c r="X10" s="23">
        <f t="shared" si="2"/>
        <v>2.1484000000000001</v>
      </c>
      <c r="Y10" s="22">
        <f>('SERVISECURITAS 2009'!Y10*0.8/100)+'SERVISECURITAS 2009'!Y10</f>
        <v>47.896168319999994</v>
      </c>
    </row>
    <row r="11" spans="1:25" ht="18" customHeight="1" x14ac:dyDescent="0.2">
      <c r="A11" s="43"/>
      <c r="B11" s="27" t="s">
        <v>20</v>
      </c>
      <c r="C11" s="28"/>
      <c r="D11" s="29"/>
      <c r="E11" s="28"/>
      <c r="F11" s="29"/>
      <c r="G11" s="12"/>
      <c r="H11" s="13"/>
      <c r="I11" s="12"/>
      <c r="J11" s="12"/>
      <c r="K11" s="12"/>
      <c r="L11" s="47"/>
      <c r="M11" s="18"/>
      <c r="N11" s="22"/>
      <c r="O11" s="22"/>
      <c r="P11" s="22"/>
      <c r="Q11" s="22"/>
      <c r="R11" s="22"/>
      <c r="S11" s="22"/>
      <c r="T11" s="22"/>
      <c r="U11" s="22"/>
      <c r="V11" s="28"/>
      <c r="W11" s="22"/>
      <c r="X11" s="30"/>
      <c r="Y11" s="22"/>
    </row>
    <row r="12" spans="1:25" ht="18" customHeight="1" x14ac:dyDescent="0.2">
      <c r="A12" s="44">
        <v>201</v>
      </c>
      <c r="B12" s="21" t="s">
        <v>21</v>
      </c>
      <c r="C12" s="22">
        <v>1295.82</v>
      </c>
      <c r="D12" s="23">
        <f t="shared" ref="D12:D20" si="4">C12/30</f>
        <v>43.193999999999996</v>
      </c>
      <c r="E12" s="22">
        <v>74.55</v>
      </c>
      <c r="F12" s="23">
        <f t="shared" ref="F12:F20" si="5">E12/30</f>
        <v>2.4849999999999999</v>
      </c>
      <c r="G12" s="22"/>
      <c r="H12" s="24"/>
      <c r="I12" s="22"/>
      <c r="J12" s="22"/>
      <c r="K12" s="15">
        <v>1370.37</v>
      </c>
      <c r="L12" s="22"/>
      <c r="M12" s="22">
        <v>15.18</v>
      </c>
      <c r="N12" s="22">
        <v>2.02</v>
      </c>
      <c r="O12" s="22">
        <f>('SERVISECURITAS 2009'!O12*0.8/100)+'SERVISECURITAS 2009'!O12</f>
        <v>0.22486464</v>
      </c>
      <c r="P12" s="22">
        <f>'SERVISECURITAS 2009'!P12*0.8/100+'SERVISECURITAS 2009'!P12</f>
        <v>0.252</v>
      </c>
      <c r="Q12" s="22">
        <f>('SERVISECURITAS 2009'!Q12*0.8/100)+'SERVISECURITAS 2009'!Q12</f>
        <v>8.0542425600000005</v>
      </c>
      <c r="R12" s="22">
        <f>('SERVISECURITAS 2009'!R12*0.8/100)+'SERVISECURITAS 2009'!R12</f>
        <v>13.440772800000001</v>
      </c>
      <c r="S12" s="22">
        <f>('SERVISECURITAS 2009'!S12*0.8/100)+'SERVISECURITAS 2009'!S12</f>
        <v>26.89176672</v>
      </c>
      <c r="T12" s="22">
        <v>24.66</v>
      </c>
      <c r="U12" s="22">
        <f>('SERVISECURITAS 2009'!U12*0.8/100)+'SERVISECURITAS 2009'!U12</f>
        <v>118.96361567999999</v>
      </c>
      <c r="V12" s="22">
        <f>('SERVISECURITAS 2009'!V12*0.8/100)+'SERVISECURITAS 2009'!V12</f>
        <v>102.21120000000001</v>
      </c>
      <c r="W12" s="22">
        <f t="shared" ref="W12:W20" si="6">C12*5/100</f>
        <v>64.790999999999997</v>
      </c>
      <c r="X12" s="23">
        <f t="shared" ref="X12:X20" si="7">W12/30</f>
        <v>2.1597</v>
      </c>
      <c r="Y12" s="22">
        <f>('SERVISECURITAS 2009'!Y12*0.8/100)+'SERVISECURITAS 2009'!Y12</f>
        <v>47.896168319999994</v>
      </c>
    </row>
    <row r="13" spans="1:25" ht="18" customHeight="1" x14ac:dyDescent="0.2">
      <c r="A13" s="44">
        <v>120</v>
      </c>
      <c r="B13" s="21" t="s">
        <v>48</v>
      </c>
      <c r="C13" s="22">
        <v>1295.82</v>
      </c>
      <c r="D13" s="23">
        <f t="shared" si="4"/>
        <v>43.193999999999996</v>
      </c>
      <c r="E13" s="22">
        <v>74.55</v>
      </c>
      <c r="F13" s="23">
        <f t="shared" si="5"/>
        <v>2.4849999999999999</v>
      </c>
      <c r="G13" s="22"/>
      <c r="H13" s="24"/>
      <c r="I13" s="22"/>
      <c r="J13" s="22"/>
      <c r="K13" s="15">
        <v>1370.37</v>
      </c>
      <c r="L13" s="22"/>
      <c r="M13" s="22">
        <v>15.18</v>
      </c>
      <c r="N13" s="22">
        <v>2.02</v>
      </c>
      <c r="O13" s="22">
        <f>('SERVISECURITAS 2009'!O13*0.8/100)+'SERVISECURITAS 2009'!O13</f>
        <v>0.22486464</v>
      </c>
      <c r="P13" s="22">
        <f>'SERVISECURITAS 2009'!P13*0.8/100+'SERVISECURITAS 2009'!P13</f>
        <v>0.252</v>
      </c>
      <c r="Q13" s="22">
        <f>('SERVISECURITAS 2009'!Q13*0.8/100)+'SERVISECURITAS 2009'!Q13</f>
        <v>8.0542425600000005</v>
      </c>
      <c r="R13" s="22">
        <f>('SERVISECURITAS 2009'!R13*0.8/100)+'SERVISECURITAS 2009'!R13</f>
        <v>13.440772800000001</v>
      </c>
      <c r="S13" s="22">
        <f>('SERVISECURITAS 2009'!S13*0.8/100)+'SERVISECURITAS 2009'!S13</f>
        <v>26.89176672</v>
      </c>
      <c r="T13" s="22">
        <v>24.66</v>
      </c>
      <c r="U13" s="22">
        <f>('SERVISECURITAS 2009'!U13*0.8/100)+'SERVISECURITAS 2009'!U13</f>
        <v>118.96361567999999</v>
      </c>
      <c r="V13" s="22">
        <f>('SERVISECURITAS 2009'!V13*0.8/100)+'SERVISECURITAS 2009'!V13</f>
        <v>102.21120000000001</v>
      </c>
      <c r="W13" s="22">
        <f t="shared" si="6"/>
        <v>64.790999999999997</v>
      </c>
      <c r="X13" s="23">
        <f t="shared" si="7"/>
        <v>2.1597</v>
      </c>
      <c r="Y13" s="22">
        <f>('SERVISECURITAS 2009'!Y13*0.8/100)+'SERVISECURITAS 2009'!Y13</f>
        <v>47.896168319999994</v>
      </c>
    </row>
    <row r="14" spans="1:25" ht="18" customHeight="1" x14ac:dyDescent="0.2">
      <c r="A14" s="44">
        <v>207</v>
      </c>
      <c r="B14" s="21" t="s">
        <v>49</v>
      </c>
      <c r="C14" s="22">
        <v>961.78</v>
      </c>
      <c r="D14" s="23">
        <f t="shared" si="4"/>
        <v>32.059333333333335</v>
      </c>
      <c r="E14" s="22">
        <v>74.55</v>
      </c>
      <c r="F14" s="23">
        <f t="shared" si="5"/>
        <v>2.4849999999999999</v>
      </c>
      <c r="G14" s="22"/>
      <c r="H14" s="24"/>
      <c r="I14" s="22"/>
      <c r="J14" s="22"/>
      <c r="K14" s="15">
        <f t="shared" ref="K14:K19" si="8">C14+E14+G14+I14</f>
        <v>1036.33</v>
      </c>
      <c r="L14" s="22"/>
      <c r="M14" s="22">
        <v>11.24</v>
      </c>
      <c r="N14" s="22">
        <v>1.49</v>
      </c>
      <c r="O14" s="22">
        <f>('SERVISECURITAS 2009'!O14*0.8/100)+'SERVISECURITAS 2009'!O14</f>
        <v>0.22486464</v>
      </c>
      <c r="P14" s="22">
        <f>'SERVISECURITAS 2009'!P14*0.8/100+'SERVISECURITAS 2009'!P14</f>
        <v>0.252</v>
      </c>
      <c r="Q14" s="22">
        <f>('SERVISECURITAS 2009'!Q14*0.8/100)+'SERVISECURITAS 2009'!Q14</f>
        <v>8.0542425600000005</v>
      </c>
      <c r="R14" s="22">
        <f>('SERVISECURITAS 2009'!R14*0.8/100)+'SERVISECURITAS 2009'!R14</f>
        <v>13.440772800000001</v>
      </c>
      <c r="S14" s="22">
        <f>('SERVISECURITAS 2009'!S14*0.8/100)+'SERVISECURITAS 2009'!S14</f>
        <v>26.89176672</v>
      </c>
      <c r="T14" s="22">
        <v>24.66</v>
      </c>
      <c r="U14" s="22">
        <f>('SERVISECURITAS 2009'!U14*0.8/100)+'SERVISECURITAS 2009'!U14</f>
        <v>118.96361567999999</v>
      </c>
      <c r="V14" s="22">
        <f>('SERVISECURITAS 2009'!V14*0.8/100)+'SERVISECURITAS 2009'!V14</f>
        <v>102.21120000000001</v>
      </c>
      <c r="W14" s="22">
        <f t="shared" si="6"/>
        <v>48.088999999999999</v>
      </c>
      <c r="X14" s="23">
        <f t="shared" si="7"/>
        <v>1.6029666666666667</v>
      </c>
      <c r="Y14" s="22">
        <f>('SERVISECURITAS 2009'!Y14*0.8/100)+'SERVISECURITAS 2009'!Y14</f>
        <v>47.896168319999994</v>
      </c>
    </row>
    <row r="15" spans="1:25" ht="18" customHeight="1" x14ac:dyDescent="0.2">
      <c r="A15" s="44">
        <v>202</v>
      </c>
      <c r="B15" s="21" t="s">
        <v>22</v>
      </c>
      <c r="C15" s="22">
        <v>1159.6600000000001</v>
      </c>
      <c r="D15" s="23">
        <f t="shared" si="4"/>
        <v>38.655333333333338</v>
      </c>
      <c r="E15" s="22">
        <v>74.55</v>
      </c>
      <c r="F15" s="23">
        <f t="shared" si="5"/>
        <v>2.4849999999999999</v>
      </c>
      <c r="G15" s="22"/>
      <c r="H15" s="24"/>
      <c r="I15" s="22"/>
      <c r="J15" s="22"/>
      <c r="K15" s="15">
        <f t="shared" si="8"/>
        <v>1234.21</v>
      </c>
      <c r="L15" s="22"/>
      <c r="M15" s="22">
        <v>14.96</v>
      </c>
      <c r="N15" s="22">
        <v>1.79</v>
      </c>
      <c r="O15" s="22">
        <f>('SERVISECURITAS 2009'!O15*0.8/100)+'SERVISECURITAS 2009'!O15</f>
        <v>0.22486464</v>
      </c>
      <c r="P15" s="22">
        <f>'SERVISECURITAS 2009'!P15*0.8/100+'SERVISECURITAS 2009'!P15</f>
        <v>0.252</v>
      </c>
      <c r="Q15" s="22">
        <f>('SERVISECURITAS 2009'!Q15*0.8/100)+'SERVISECURITAS 2009'!Q15</f>
        <v>8.0542425600000005</v>
      </c>
      <c r="R15" s="22">
        <f>('SERVISECURITAS 2009'!R15*0.8/100)+'SERVISECURITAS 2009'!R15</f>
        <v>13.440772800000001</v>
      </c>
      <c r="S15" s="22">
        <f>('SERVISECURITAS 2009'!S15*0.8/100)+'SERVISECURITAS 2009'!S15</f>
        <v>26.89176672</v>
      </c>
      <c r="T15" s="22">
        <v>24.66</v>
      </c>
      <c r="U15" s="22">
        <f>('SERVISECURITAS 2009'!U15*0.8/100)+'SERVISECURITAS 2009'!U15</f>
        <v>118.96361567999999</v>
      </c>
      <c r="V15" s="22">
        <f>('SERVISECURITAS 2009'!V15*0.8/100)+'SERVISECURITAS 2009'!V15</f>
        <v>102.21120000000001</v>
      </c>
      <c r="W15" s="22">
        <f t="shared" si="6"/>
        <v>57.983000000000004</v>
      </c>
      <c r="X15" s="23">
        <f t="shared" si="7"/>
        <v>1.9327666666666667</v>
      </c>
      <c r="Y15" s="22">
        <f>('SERVISECURITAS 2009'!Y15*0.8/100)+'SERVISECURITAS 2009'!Y15</f>
        <v>47.896168319999994</v>
      </c>
    </row>
    <row r="16" spans="1:25" ht="18" customHeight="1" x14ac:dyDescent="0.2">
      <c r="A16" s="44">
        <v>203</v>
      </c>
      <c r="B16" s="21" t="s">
        <v>23</v>
      </c>
      <c r="C16" s="22">
        <v>953.72</v>
      </c>
      <c r="D16" s="23">
        <f t="shared" si="4"/>
        <v>31.790666666666667</v>
      </c>
      <c r="E16" s="22">
        <v>74.55</v>
      </c>
      <c r="F16" s="23">
        <f t="shared" si="5"/>
        <v>2.4849999999999999</v>
      </c>
      <c r="G16" s="22"/>
      <c r="H16" s="24"/>
      <c r="I16" s="22"/>
      <c r="J16" s="22"/>
      <c r="K16" s="15">
        <v>1028.27</v>
      </c>
      <c r="L16" s="22"/>
      <c r="M16" s="22">
        <v>13.57</v>
      </c>
      <c r="N16" s="22">
        <v>1.47</v>
      </c>
      <c r="O16" s="22">
        <f>('SERVISECURITAS 2009'!O16*0.8/100)+'SERVISECURITAS 2009'!O16</f>
        <v>0.22486464</v>
      </c>
      <c r="P16" s="22">
        <f>'SERVISECURITAS 2009'!P16*0.8/100+'SERVISECURITAS 2009'!P16</f>
        <v>0.252</v>
      </c>
      <c r="Q16" s="22">
        <f>('SERVISECURITAS 2009'!Q16*0.8/100)+'SERVISECURITAS 2009'!Q16</f>
        <v>8.0542425600000005</v>
      </c>
      <c r="R16" s="22">
        <f>('SERVISECURITAS 2009'!R16*0.8/100)+'SERVISECURITAS 2009'!R16</f>
        <v>13.440772800000001</v>
      </c>
      <c r="S16" s="22">
        <f>('SERVISECURITAS 2009'!S16*0.8/100)+'SERVISECURITAS 2009'!S16</f>
        <v>26.89176672</v>
      </c>
      <c r="T16" s="22">
        <v>24.66</v>
      </c>
      <c r="U16" s="22">
        <f>('SERVISECURITAS 2009'!U16*0.8/100)+'SERVISECURITAS 2009'!U16</f>
        <v>118.96361567999999</v>
      </c>
      <c r="V16" s="22">
        <f>('SERVISECURITAS 2009'!V16*0.8/100)+'SERVISECURITAS 2009'!V16</f>
        <v>102.21120000000001</v>
      </c>
      <c r="W16" s="22">
        <f t="shared" si="6"/>
        <v>47.686000000000007</v>
      </c>
      <c r="X16" s="23">
        <f t="shared" si="7"/>
        <v>1.5895333333333335</v>
      </c>
      <c r="Y16" s="22">
        <f>('SERVISECURITAS 2009'!Y16*0.8/100)+'SERVISECURITAS 2009'!Y16</f>
        <v>47.896168319999994</v>
      </c>
    </row>
    <row r="17" spans="1:25" ht="18" customHeight="1" x14ac:dyDescent="0.2">
      <c r="A17" s="44">
        <v>204</v>
      </c>
      <c r="B17" s="21" t="s">
        <v>24</v>
      </c>
      <c r="C17" s="22">
        <v>875.77</v>
      </c>
      <c r="D17" s="23">
        <f t="shared" si="4"/>
        <v>29.192333333333334</v>
      </c>
      <c r="E17" s="22">
        <v>74.55</v>
      </c>
      <c r="F17" s="23">
        <f t="shared" si="5"/>
        <v>2.4849999999999999</v>
      </c>
      <c r="G17" s="22"/>
      <c r="H17" s="24"/>
      <c r="I17" s="22"/>
      <c r="J17" s="22"/>
      <c r="K17" s="15">
        <f t="shared" si="8"/>
        <v>950.31999999999994</v>
      </c>
      <c r="L17" s="22"/>
      <c r="M17" s="22">
        <v>10.18</v>
      </c>
      <c r="N17" s="22">
        <v>1.35</v>
      </c>
      <c r="O17" s="22">
        <f>('SERVISECURITAS 2009'!O17*0.8/100)+'SERVISECURITAS 2009'!O17</f>
        <v>0.22486464</v>
      </c>
      <c r="P17" s="22">
        <f>'SERVISECURITAS 2009'!P17*0.8/100+'SERVISECURITAS 2009'!P17</f>
        <v>0.252</v>
      </c>
      <c r="Q17" s="22">
        <f>('SERVISECURITAS 2009'!Q17*0.8/100)+'SERVISECURITAS 2009'!Q17</f>
        <v>8.0542425600000005</v>
      </c>
      <c r="R17" s="22">
        <f>('SERVISECURITAS 2009'!R17*0.8/100)+'SERVISECURITAS 2009'!R17</f>
        <v>13.440772800000001</v>
      </c>
      <c r="S17" s="22">
        <f>('SERVISECURITAS 2009'!S17*0.8/100)+'SERVISECURITAS 2009'!S17</f>
        <v>26.89176672</v>
      </c>
      <c r="T17" s="22">
        <v>24.66</v>
      </c>
      <c r="U17" s="22">
        <f>('SERVISECURITAS 2009'!U17*0.8/100)+'SERVISECURITAS 2009'!U17</f>
        <v>118.96361567999999</v>
      </c>
      <c r="V17" s="22">
        <f>('SERVISECURITAS 2009'!V17*0.8/100)+'SERVISECURITAS 2009'!V17</f>
        <v>102.21120000000001</v>
      </c>
      <c r="W17" s="22">
        <f t="shared" si="6"/>
        <v>43.788500000000006</v>
      </c>
      <c r="X17" s="23">
        <f t="shared" si="7"/>
        <v>1.4596166666666668</v>
      </c>
      <c r="Y17" s="22">
        <f>('SERVISECURITAS 2009'!Y17*0.8/100)+'SERVISECURITAS 2009'!Y17</f>
        <v>47.896168319999994</v>
      </c>
    </row>
    <row r="18" spans="1:25" ht="18" customHeight="1" x14ac:dyDescent="0.2">
      <c r="A18" s="44">
        <v>206</v>
      </c>
      <c r="B18" s="21" t="s">
        <v>25</v>
      </c>
      <c r="C18" s="22">
        <v>688.44</v>
      </c>
      <c r="D18" s="23">
        <f t="shared" si="4"/>
        <v>22.948</v>
      </c>
      <c r="E18" s="22">
        <v>74.55</v>
      </c>
      <c r="F18" s="23">
        <f t="shared" si="5"/>
        <v>2.4849999999999999</v>
      </c>
      <c r="G18" s="22"/>
      <c r="H18" s="24"/>
      <c r="I18" s="22"/>
      <c r="J18" s="22"/>
      <c r="K18" s="15">
        <v>762.99</v>
      </c>
      <c r="L18" s="22"/>
      <c r="M18" s="22">
        <v>7.98</v>
      </c>
      <c r="N18" s="22">
        <v>1.04</v>
      </c>
      <c r="O18" s="22">
        <f>('SERVISECURITAS 2009'!O18*0.8/100)+'SERVISECURITAS 2009'!O18</f>
        <v>0.22486464</v>
      </c>
      <c r="P18" s="22">
        <f>'SERVISECURITAS 2009'!P18*0.8/100+'SERVISECURITAS 2009'!P18</f>
        <v>0.252</v>
      </c>
      <c r="Q18" s="22">
        <f>('SERVISECURITAS 2009'!Q18*0.8/100)+'SERVISECURITAS 2009'!Q18</f>
        <v>8.0542425600000005</v>
      </c>
      <c r="R18" s="22">
        <f>('SERVISECURITAS 2009'!R18*0.8/100)+'SERVISECURITAS 2009'!R18</f>
        <v>13.440772800000001</v>
      </c>
      <c r="S18" s="22">
        <f>('SERVISECURITAS 2009'!S18*0.8/100)+'SERVISECURITAS 2009'!S18</f>
        <v>26.89176672</v>
      </c>
      <c r="T18" s="22">
        <v>24.66</v>
      </c>
      <c r="U18" s="22">
        <f>('SERVISECURITAS 2009'!U18*0.8/100)+'SERVISECURITAS 2009'!U18</f>
        <v>118.96361567999999</v>
      </c>
      <c r="V18" s="22">
        <f>('SERVISECURITAS 2009'!V18*0.8/100)+'SERVISECURITAS 2009'!V18</f>
        <v>102.21120000000001</v>
      </c>
      <c r="W18" s="22">
        <f t="shared" si="6"/>
        <v>34.422000000000004</v>
      </c>
      <c r="X18" s="23">
        <f t="shared" si="7"/>
        <v>1.1474000000000002</v>
      </c>
      <c r="Y18" s="22">
        <f>('SERVISECURITAS 2009'!Y18*0.8/100)+'SERVISECURITAS 2009'!Y18</f>
        <v>47.896168319999994</v>
      </c>
    </row>
    <row r="19" spans="1:25" ht="18" customHeight="1" x14ac:dyDescent="0.2">
      <c r="A19" s="44">
        <v>210</v>
      </c>
      <c r="B19" s="21" t="s">
        <v>26</v>
      </c>
      <c r="C19" s="22">
        <v>633.29999999999995</v>
      </c>
      <c r="D19" s="23">
        <f t="shared" si="4"/>
        <v>21.11</v>
      </c>
      <c r="E19" s="22">
        <v>74.55</v>
      </c>
      <c r="F19" s="23">
        <f t="shared" si="5"/>
        <v>2.4849999999999999</v>
      </c>
      <c r="G19" s="22"/>
      <c r="H19" s="24"/>
      <c r="I19" s="22"/>
      <c r="J19" s="22"/>
      <c r="K19" s="15">
        <f t="shared" si="8"/>
        <v>707.84999999999991</v>
      </c>
      <c r="L19" s="22"/>
      <c r="M19" s="22">
        <v>5.54</v>
      </c>
      <c r="N19" s="22">
        <v>0.94</v>
      </c>
      <c r="O19" s="22">
        <f>('SERVISECURITAS 2009'!O19*0.8/100)+'SERVISECURITAS 2009'!O19</f>
        <v>0.22486464</v>
      </c>
      <c r="P19" s="22">
        <f>'SERVISECURITAS 2009'!P19*0.8/100+'SERVISECURITAS 2009'!P19</f>
        <v>0.252</v>
      </c>
      <c r="Q19" s="22">
        <f>('SERVISECURITAS 2009'!Q19*0.8/100)+'SERVISECURITAS 2009'!Q19</f>
        <v>8.0542425600000005</v>
      </c>
      <c r="R19" s="22">
        <f>('SERVISECURITAS 2009'!R19*0.8/100)+'SERVISECURITAS 2009'!R19</f>
        <v>13.440772800000001</v>
      </c>
      <c r="S19" s="22">
        <f>('SERVISECURITAS 2009'!S19*0.8/100)+'SERVISECURITAS 2009'!S19</f>
        <v>26.89176672</v>
      </c>
      <c r="T19" s="22">
        <v>24.66</v>
      </c>
      <c r="U19" s="22">
        <f>('SERVISECURITAS 2009'!U19*0.8/100)+'SERVISECURITAS 2009'!U19</f>
        <v>118.96361567999999</v>
      </c>
      <c r="V19" s="22">
        <f>('SERVISECURITAS 2009'!V19*0.8/100)+'SERVISECURITAS 2009'!V19</f>
        <v>102.21120000000001</v>
      </c>
      <c r="W19" s="22">
        <f t="shared" si="6"/>
        <v>31.664999999999999</v>
      </c>
      <c r="X19" s="23">
        <f t="shared" si="7"/>
        <v>1.0554999999999999</v>
      </c>
      <c r="Y19" s="22">
        <f>('SERVISECURITAS 2009'!Y19*0.8/100)+'SERVISECURITAS 2009'!Y19</f>
        <v>47.896168319999994</v>
      </c>
    </row>
    <row r="20" spans="1:25" ht="18" customHeight="1" x14ac:dyDescent="0.2">
      <c r="A20" s="44">
        <v>209</v>
      </c>
      <c r="B20" s="21" t="s">
        <v>27</v>
      </c>
      <c r="C20" s="22">
        <v>688.44</v>
      </c>
      <c r="D20" s="23">
        <f t="shared" si="4"/>
        <v>22.948</v>
      </c>
      <c r="E20" s="22">
        <v>74.55</v>
      </c>
      <c r="F20" s="23">
        <f t="shared" si="5"/>
        <v>2.4849999999999999</v>
      </c>
      <c r="G20" s="22"/>
      <c r="H20" s="24"/>
      <c r="I20" s="22"/>
      <c r="J20" s="22"/>
      <c r="K20" s="15">
        <v>762.99</v>
      </c>
      <c r="L20" s="22"/>
      <c r="M20" s="22">
        <v>7.98</v>
      </c>
      <c r="N20" s="22">
        <v>1.05</v>
      </c>
      <c r="O20" s="22">
        <f>('SERVISECURITAS 2009'!O20*0.8/100)+'SERVISECURITAS 2009'!O20</f>
        <v>0.22486464</v>
      </c>
      <c r="P20" s="22">
        <f>'SERVISECURITAS 2009'!P20*0.8/100+'SERVISECURITAS 2009'!P20</f>
        <v>0.252</v>
      </c>
      <c r="Q20" s="22">
        <f>('SERVISECURITAS 2009'!Q20*0.8/100)+'SERVISECURITAS 2009'!Q20</f>
        <v>8.0542425600000005</v>
      </c>
      <c r="R20" s="22">
        <f>('SERVISECURITAS 2009'!R20*0.8/100)+'SERVISECURITAS 2009'!R20</f>
        <v>13.440772800000001</v>
      </c>
      <c r="S20" s="22">
        <f>('SERVISECURITAS 2009'!S20*0.8/100)+'SERVISECURITAS 2009'!S20</f>
        <v>26.89176672</v>
      </c>
      <c r="T20" s="22">
        <v>24.66</v>
      </c>
      <c r="U20" s="22">
        <f>('SERVISECURITAS 2009'!U20*0.8/100)+'SERVISECURITAS 2009'!U20</f>
        <v>118.96361567999999</v>
      </c>
      <c r="V20" s="22">
        <f>('SERVISECURITAS 2009'!V20*0.8/100)+'SERVISECURITAS 2009'!V20</f>
        <v>102.21120000000001</v>
      </c>
      <c r="W20" s="22">
        <f t="shared" si="6"/>
        <v>34.422000000000004</v>
      </c>
      <c r="X20" s="23">
        <f t="shared" si="7"/>
        <v>1.1474000000000002</v>
      </c>
      <c r="Y20" s="22">
        <f>('SERVISECURITAS 2009'!Y20*0.8/100)+'SERVISECURITAS 2009'!Y20</f>
        <v>47.896168319999994</v>
      </c>
    </row>
    <row r="21" spans="1:25" ht="18" customHeight="1" x14ac:dyDescent="0.2">
      <c r="A21" s="43"/>
      <c r="B21" s="27" t="s">
        <v>28</v>
      </c>
      <c r="C21" s="28"/>
      <c r="D21" s="29"/>
      <c r="E21" s="28"/>
      <c r="F21" s="29"/>
      <c r="G21" s="28"/>
      <c r="H21" s="29"/>
      <c r="I21" s="28"/>
      <c r="J21" s="28"/>
      <c r="K21" s="12"/>
      <c r="L21" s="47"/>
      <c r="M21" s="18"/>
      <c r="N21" s="22"/>
      <c r="O21" s="22"/>
      <c r="P21" s="22"/>
      <c r="Q21" s="22"/>
      <c r="R21" s="22"/>
      <c r="S21" s="22"/>
      <c r="T21" s="22"/>
      <c r="U21" s="22"/>
      <c r="V21" s="28"/>
      <c r="W21" s="22"/>
      <c r="X21" s="30"/>
      <c r="Y21" s="22"/>
    </row>
    <row r="22" spans="1:25" ht="18" customHeight="1" x14ac:dyDescent="0.2">
      <c r="A22" s="44">
        <v>504</v>
      </c>
      <c r="B22" s="21" t="s">
        <v>29</v>
      </c>
      <c r="C22" s="22">
        <v>1289.04</v>
      </c>
      <c r="D22" s="23">
        <f>C22/30</f>
        <v>42.967999999999996</v>
      </c>
      <c r="E22" s="22">
        <v>74.55</v>
      </c>
      <c r="F22" s="23">
        <f>E22/30</f>
        <v>2.4849999999999999</v>
      </c>
      <c r="G22" s="22"/>
      <c r="H22" s="24"/>
      <c r="I22" s="22"/>
      <c r="J22" s="22"/>
      <c r="K22" s="15">
        <f>C22+E22+G22+I22</f>
        <v>1363.59</v>
      </c>
      <c r="L22" s="22"/>
      <c r="M22" s="22">
        <v>15</v>
      </c>
      <c r="N22" s="22">
        <v>2.02</v>
      </c>
      <c r="O22" s="22">
        <f>('SERVISECURITAS 2009'!O22*0.8/100)+'SERVISECURITAS 2009'!O22</f>
        <v>0.22486464</v>
      </c>
      <c r="P22" s="22">
        <f>'SERVISECURITAS 2009'!P22*0.8/100+'SERVISECURITAS 2009'!P22</f>
        <v>0.252</v>
      </c>
      <c r="Q22" s="22">
        <f>('SERVISECURITAS 2009'!Q22*0.8/100)+'SERVISECURITAS 2009'!Q22</f>
        <v>8.0542425600000005</v>
      </c>
      <c r="R22" s="22">
        <f>('SERVISECURITAS 2009'!R22*0.8/100)+'SERVISECURITAS 2009'!R22</f>
        <v>13.440772800000001</v>
      </c>
      <c r="S22" s="22">
        <f>('SERVISECURITAS 2009'!S22*0.8/100)+'SERVISECURITAS 2009'!S22</f>
        <v>26.89176672</v>
      </c>
      <c r="T22" s="22">
        <v>24.66</v>
      </c>
      <c r="U22" s="22">
        <f>('SERVISECURITAS 2009'!U22*0.8/100)+'SERVISECURITAS 2009'!U22</f>
        <v>118.96361567999999</v>
      </c>
      <c r="V22" s="22">
        <f>('SERVISECURITAS 2009'!V22*0.8/100)+'SERVISECURITAS 2009'!V22</f>
        <v>102.21120000000001</v>
      </c>
      <c r="W22" s="22">
        <f>C22*5/100</f>
        <v>64.451999999999998</v>
      </c>
      <c r="X22" s="23">
        <f>W22/30</f>
        <v>2.1484000000000001</v>
      </c>
      <c r="Y22" s="22">
        <f>('SERVISECURITAS 2009'!Y22*0.8/100)+'SERVISECURITAS 2009'!Y22</f>
        <v>47.896168319999994</v>
      </c>
    </row>
    <row r="23" spans="1:25" ht="18" customHeight="1" x14ac:dyDescent="0.2">
      <c r="A23" s="44">
        <v>227</v>
      </c>
      <c r="B23" s="21" t="s">
        <v>30</v>
      </c>
      <c r="C23" s="22">
        <v>953.72</v>
      </c>
      <c r="D23" s="23">
        <f>C23/30</f>
        <v>31.790666666666667</v>
      </c>
      <c r="E23" s="22">
        <v>74.55</v>
      </c>
      <c r="F23" s="23">
        <f>E23/30</f>
        <v>2.4849999999999999</v>
      </c>
      <c r="G23" s="22"/>
      <c r="H23" s="24"/>
      <c r="I23" s="22"/>
      <c r="J23" s="22"/>
      <c r="K23" s="15">
        <f>C23+E23+G23+I23</f>
        <v>1028.27</v>
      </c>
      <c r="L23" s="22"/>
      <c r="M23" s="22">
        <v>11.12</v>
      </c>
      <c r="N23" s="22">
        <v>1.47</v>
      </c>
      <c r="O23" s="22">
        <f>('SERVISECURITAS 2009'!O23*0.8/100)+'SERVISECURITAS 2009'!O23</f>
        <v>0.22486464</v>
      </c>
      <c r="P23" s="22">
        <f>'SERVISECURITAS 2009'!P23*0.8/100+'SERVISECURITAS 2009'!P23</f>
        <v>0.252</v>
      </c>
      <c r="Q23" s="22">
        <f>('SERVISECURITAS 2009'!Q23*0.8/100)+'SERVISECURITAS 2009'!Q23</f>
        <v>8.0542425600000005</v>
      </c>
      <c r="R23" s="22">
        <f>('SERVISECURITAS 2009'!R23*0.8/100)+'SERVISECURITAS 2009'!R23</f>
        <v>13.440772800000001</v>
      </c>
      <c r="S23" s="22">
        <f>('SERVISECURITAS 2009'!S23*0.8/100)+'SERVISECURITAS 2009'!S23</f>
        <v>26.89176672</v>
      </c>
      <c r="T23" s="22">
        <v>24.66</v>
      </c>
      <c r="U23" s="22">
        <f>('SERVISECURITAS 2009'!U23*0.8/100)+'SERVISECURITAS 2009'!U23</f>
        <v>118.96361567999999</v>
      </c>
      <c r="V23" s="22">
        <f>('SERVISECURITAS 2009'!V23*0.8/100)+'SERVISECURITAS 2009'!V23</f>
        <v>102.21120000000001</v>
      </c>
      <c r="W23" s="22">
        <f>C23*5/100</f>
        <v>47.686000000000007</v>
      </c>
      <c r="X23" s="23">
        <f>W23/30</f>
        <v>1.5895333333333335</v>
      </c>
      <c r="Y23" s="22">
        <f>('SERVISECURITAS 2009'!Y23*0.8/100)+'SERVISECURITAS 2009'!Y23</f>
        <v>47.896168319999994</v>
      </c>
    </row>
    <row r="24" spans="1:25" ht="18" customHeight="1" x14ac:dyDescent="0.2">
      <c r="A24" s="43"/>
      <c r="B24" s="27" t="s">
        <v>31</v>
      </c>
      <c r="C24" s="28"/>
      <c r="D24" s="29"/>
      <c r="E24" s="28"/>
      <c r="F24" s="29"/>
      <c r="G24" s="28"/>
      <c r="H24" s="29"/>
      <c r="I24" s="28"/>
      <c r="J24" s="28"/>
      <c r="K24" s="12"/>
      <c r="L24" s="47"/>
      <c r="M24" s="18"/>
      <c r="N24" s="22"/>
      <c r="O24" s="22"/>
      <c r="P24" s="22"/>
      <c r="Q24" s="22"/>
      <c r="R24" s="22"/>
      <c r="S24" s="22"/>
      <c r="T24" s="22"/>
      <c r="U24" s="22"/>
      <c r="V24" s="28"/>
      <c r="W24" s="22"/>
      <c r="X24" s="30"/>
      <c r="Y24" s="22"/>
    </row>
    <row r="25" spans="1:25" ht="18" customHeight="1" x14ac:dyDescent="0.2">
      <c r="A25" s="44" t="s">
        <v>52</v>
      </c>
      <c r="B25" s="21" t="s">
        <v>32</v>
      </c>
      <c r="C25" s="22">
        <v>639.1</v>
      </c>
      <c r="D25" s="23">
        <f t="shared" ref="D25:D32" si="9">C25/30</f>
        <v>21.303333333333335</v>
      </c>
      <c r="E25" s="22">
        <v>74.55</v>
      </c>
      <c r="F25" s="23">
        <f t="shared" ref="F25:F32" si="10">E25/30</f>
        <v>2.4849999999999999</v>
      </c>
      <c r="G25" s="22">
        <v>29.83</v>
      </c>
      <c r="H25" s="23">
        <f t="shared" ref="H25:H32" si="11">G25/30</f>
        <v>0.99433333333333329</v>
      </c>
      <c r="I25" s="22"/>
      <c r="J25" s="22"/>
      <c r="K25" s="15">
        <f t="shared" ref="K25:K32" si="12">C25+E25+G25+I25</f>
        <v>743.48</v>
      </c>
      <c r="L25" s="22"/>
      <c r="M25" s="22">
        <v>6.7</v>
      </c>
      <c r="N25" s="22">
        <v>0.96</v>
      </c>
      <c r="O25" s="22">
        <v>2407</v>
      </c>
      <c r="P25" s="22">
        <f>'SERVISECURITAS 2009'!P25*0.8/100+'SERVISECURITAS 2009'!P25</f>
        <v>0.252</v>
      </c>
      <c r="Q25" s="22">
        <f>('SERVISECURITAS 2009'!Q25*0.8/100)+'SERVISECURITAS 2009'!Q25</f>
        <v>8.0542425600000005</v>
      </c>
      <c r="R25" s="22">
        <f>('SERVISECURITAS 2009'!R25*0.8/100)+'SERVISECURITAS 2009'!R25</f>
        <v>13.440772800000001</v>
      </c>
      <c r="S25" s="22">
        <f>('SERVISECURITAS 2009'!S25*0.8/100)+'SERVISECURITAS 2009'!S25</f>
        <v>26.89176672</v>
      </c>
      <c r="T25" s="22">
        <v>24.66</v>
      </c>
      <c r="U25" s="22">
        <f>('SERVISECURITAS 2009'!U25*0.8/100)+'SERVISECURITAS 2009'!U25</f>
        <v>118.96361567999999</v>
      </c>
      <c r="V25" s="22">
        <f>('SERVISECURITAS 2009'!V25*0.8/100)+'SERVISECURITAS 2009'!V25</f>
        <v>102.21120000000001</v>
      </c>
      <c r="W25" s="22">
        <f t="shared" ref="W25:W32" si="13">C25*5/100</f>
        <v>31.954999999999998</v>
      </c>
      <c r="X25" s="23">
        <f t="shared" ref="X25:X32" si="14">W25/30</f>
        <v>1.0651666666666666</v>
      </c>
      <c r="Y25" s="22">
        <f>('SERVISECURITAS 2009'!Y25*0.8/100)+'SERVISECURITAS 2009'!Y25</f>
        <v>47.896168319999994</v>
      </c>
    </row>
    <row r="26" spans="1:25" ht="18" customHeight="1" x14ac:dyDescent="0.2">
      <c r="A26" s="44">
        <v>205</v>
      </c>
      <c r="B26" s="21" t="s">
        <v>33</v>
      </c>
      <c r="C26" s="22">
        <v>639.1</v>
      </c>
      <c r="D26" s="23">
        <f t="shared" si="9"/>
        <v>21.303333333333335</v>
      </c>
      <c r="E26" s="22">
        <v>74.55</v>
      </c>
      <c r="F26" s="23">
        <f t="shared" si="10"/>
        <v>2.4849999999999999</v>
      </c>
      <c r="G26" s="22">
        <v>29.83</v>
      </c>
      <c r="H26" s="23">
        <f t="shared" si="11"/>
        <v>0.99433333333333329</v>
      </c>
      <c r="I26" s="22"/>
      <c r="J26" s="22"/>
      <c r="K26" s="15">
        <f t="shared" si="12"/>
        <v>743.48</v>
      </c>
      <c r="L26" s="22"/>
      <c r="M26" s="22">
        <v>6.7</v>
      </c>
      <c r="N26" s="22">
        <v>0.96</v>
      </c>
      <c r="O26" s="22">
        <f>('SERVISECURITAS 2009'!O26*0.8/100)+'SERVISECURITAS 2009'!O26</f>
        <v>0.22486464</v>
      </c>
      <c r="P26" s="22">
        <f>'SERVISECURITAS 2009'!P26*0.8/100+'SERVISECURITAS 2009'!P26</f>
        <v>0.252</v>
      </c>
      <c r="Q26" s="22">
        <f>('SERVISECURITAS 2009'!Q26*0.8/100)+'SERVISECURITAS 2009'!Q26</f>
        <v>8.0542425600000005</v>
      </c>
      <c r="R26" s="22">
        <f>('SERVISECURITAS 2009'!R26*0.8/100)+'SERVISECURITAS 2009'!R26</f>
        <v>13.440772800000001</v>
      </c>
      <c r="S26" s="22">
        <f>('SERVISECURITAS 2009'!S26*0.8/100)+'SERVISECURITAS 2009'!S26</f>
        <v>26.89176672</v>
      </c>
      <c r="T26" s="22">
        <v>24.66</v>
      </c>
      <c r="U26" s="22">
        <f>('SERVISECURITAS 2009'!U26*0.8/100)+'SERVISECURITAS 2009'!U26</f>
        <v>118.96361567999999</v>
      </c>
      <c r="V26" s="22">
        <f>('SERVISECURITAS 2009'!V26*0.8/100)+'SERVISECURITAS 2009'!V26</f>
        <v>102.21120000000001</v>
      </c>
      <c r="W26" s="22">
        <f t="shared" si="13"/>
        <v>31.954999999999998</v>
      </c>
      <c r="X26" s="23">
        <f t="shared" si="14"/>
        <v>1.0651666666666666</v>
      </c>
      <c r="Y26" s="22">
        <f>('SERVISECURITAS 2009'!Y26*0.8/100)+'SERVISECURITAS 2009'!Y26</f>
        <v>47.896168319999994</v>
      </c>
    </row>
    <row r="27" spans="1:25" ht="18" customHeight="1" x14ac:dyDescent="0.2">
      <c r="A27" s="44">
        <v>44</v>
      </c>
      <c r="B27" s="21" t="s">
        <v>34</v>
      </c>
      <c r="C27" s="22">
        <v>639.1</v>
      </c>
      <c r="D27" s="23">
        <f t="shared" si="9"/>
        <v>21.303333333333335</v>
      </c>
      <c r="E27" s="22">
        <v>74.55</v>
      </c>
      <c r="F27" s="23">
        <f t="shared" si="10"/>
        <v>2.4849999999999999</v>
      </c>
      <c r="G27" s="22">
        <v>29.83</v>
      </c>
      <c r="H27" s="23">
        <f t="shared" si="11"/>
        <v>0.99433333333333329</v>
      </c>
      <c r="I27" s="22"/>
      <c r="J27" s="22"/>
      <c r="K27" s="15">
        <f t="shared" si="12"/>
        <v>743.48</v>
      </c>
      <c r="L27" s="22"/>
      <c r="M27" s="22">
        <v>6.7</v>
      </c>
      <c r="N27" s="22">
        <v>0.96</v>
      </c>
      <c r="O27" s="22">
        <f>('SERVISECURITAS 2009'!O27*0.8/100)+'SERVISECURITAS 2009'!O27</f>
        <v>0.22486464</v>
      </c>
      <c r="P27" s="22">
        <f>'SERVISECURITAS 2009'!P27*0.8/100+'SERVISECURITAS 2009'!P27</f>
        <v>0.252</v>
      </c>
      <c r="Q27" s="22">
        <f>('SERVISECURITAS 2009'!Q27*0.8/100)+'SERVISECURITAS 2009'!Q27</f>
        <v>8.0542425600000005</v>
      </c>
      <c r="R27" s="22">
        <f>('SERVISECURITAS 2009'!R27*0.8/100)+'SERVISECURITAS 2009'!R27</f>
        <v>13.440772800000001</v>
      </c>
      <c r="S27" s="22">
        <f>('SERVISECURITAS 2009'!S27*0.8/100)+'SERVISECURITAS 2009'!S27</f>
        <v>26.89176672</v>
      </c>
      <c r="T27" s="22">
        <v>24.66</v>
      </c>
      <c r="U27" s="22">
        <f>('SERVISECURITAS 2009'!U27*0.8/100)+'SERVISECURITAS 2009'!U27</f>
        <v>118.96361567999999</v>
      </c>
      <c r="V27" s="22">
        <f>('SERVISECURITAS 2009'!V27*0.8/100)+'SERVISECURITAS 2009'!V27</f>
        <v>102.21120000000001</v>
      </c>
      <c r="W27" s="22">
        <f t="shared" si="13"/>
        <v>31.954999999999998</v>
      </c>
      <c r="X27" s="23">
        <f t="shared" si="14"/>
        <v>1.0651666666666666</v>
      </c>
      <c r="Y27" s="22">
        <f>('SERVISECURITAS 2009'!Y27*0.8/100)+'SERVISECURITAS 2009'!Y27</f>
        <v>47.896168319999994</v>
      </c>
    </row>
    <row r="28" spans="1:25" ht="18" customHeight="1" x14ac:dyDescent="0.2">
      <c r="A28" s="44">
        <v>48</v>
      </c>
      <c r="B28" s="21" t="s">
        <v>35</v>
      </c>
      <c r="C28" s="22">
        <v>639.1</v>
      </c>
      <c r="D28" s="23">
        <f t="shared" si="9"/>
        <v>21.303333333333335</v>
      </c>
      <c r="E28" s="22">
        <v>74.55</v>
      </c>
      <c r="F28" s="23">
        <f t="shared" si="10"/>
        <v>2.4849999999999999</v>
      </c>
      <c r="G28" s="22">
        <v>29.83</v>
      </c>
      <c r="H28" s="23">
        <f t="shared" si="11"/>
        <v>0.99433333333333329</v>
      </c>
      <c r="I28" s="22"/>
      <c r="J28" s="22"/>
      <c r="K28" s="15">
        <f t="shared" si="12"/>
        <v>743.48</v>
      </c>
      <c r="L28" s="22"/>
      <c r="M28" s="22">
        <v>6.7</v>
      </c>
      <c r="N28" s="22">
        <v>0.96</v>
      </c>
      <c r="O28" s="22">
        <f>('SERVISECURITAS 2009'!O28*0.8/100)+'SERVISECURITAS 2009'!O28</f>
        <v>0.22486464</v>
      </c>
      <c r="P28" s="22">
        <f>'SERVISECURITAS 2009'!P28*0.8/100+'SERVISECURITAS 2009'!P28</f>
        <v>0.252</v>
      </c>
      <c r="Q28" s="22">
        <f>('SERVISECURITAS 2009'!Q28*0.8/100)+'SERVISECURITAS 2009'!Q28</f>
        <v>8.0542425600000005</v>
      </c>
      <c r="R28" s="22">
        <f>('SERVISECURITAS 2009'!R28*0.8/100)+'SERVISECURITAS 2009'!R28</f>
        <v>13.440772800000001</v>
      </c>
      <c r="S28" s="22">
        <f>('SERVISECURITAS 2009'!S28*0.8/100)+'SERVISECURITAS 2009'!S28</f>
        <v>26.89176672</v>
      </c>
      <c r="T28" s="22">
        <v>24.66</v>
      </c>
      <c r="U28" s="22">
        <f>('SERVISECURITAS 2009'!U28*0.8/100)+'SERVISECURITAS 2009'!U28</f>
        <v>118.96361567999999</v>
      </c>
      <c r="V28" s="22">
        <f>('SERVISECURITAS 2009'!V28*0.8/100)+'SERVISECURITAS 2009'!V28</f>
        <v>102.21120000000001</v>
      </c>
      <c r="W28" s="22">
        <f t="shared" si="13"/>
        <v>31.954999999999998</v>
      </c>
      <c r="X28" s="23">
        <f t="shared" si="14"/>
        <v>1.0651666666666666</v>
      </c>
      <c r="Y28" s="22">
        <f>('SERVISECURITAS 2009'!Y28*0.8/100)+'SERVISECURITAS 2009'!Y28</f>
        <v>47.896168319999994</v>
      </c>
    </row>
    <row r="29" spans="1:25" ht="18" customHeight="1" x14ac:dyDescent="0.2">
      <c r="A29" s="44" t="s">
        <v>53</v>
      </c>
      <c r="B29" s="21" t="s">
        <v>36</v>
      </c>
      <c r="C29" s="22">
        <v>639.1</v>
      </c>
      <c r="D29" s="23">
        <f t="shared" si="9"/>
        <v>21.303333333333335</v>
      </c>
      <c r="E29" s="22">
        <v>74.55</v>
      </c>
      <c r="F29" s="23">
        <f t="shared" si="10"/>
        <v>2.4849999999999999</v>
      </c>
      <c r="G29" s="22">
        <v>29.83</v>
      </c>
      <c r="H29" s="23">
        <f t="shared" si="11"/>
        <v>0.99433333333333329</v>
      </c>
      <c r="I29" s="22"/>
      <c r="J29" s="22"/>
      <c r="K29" s="15">
        <f t="shared" si="12"/>
        <v>743.48</v>
      </c>
      <c r="L29" s="22"/>
      <c r="M29" s="22">
        <v>6.7</v>
      </c>
      <c r="N29" s="22">
        <v>0.96</v>
      </c>
      <c r="O29" s="22">
        <f>('SERVISECURITAS 2009'!O29*0.8/100)+'SERVISECURITAS 2009'!O29</f>
        <v>0.22486464</v>
      </c>
      <c r="P29" s="22">
        <f>'SERVISECURITAS 2009'!P29*0.8/100+'SERVISECURITAS 2009'!P29</f>
        <v>0.252</v>
      </c>
      <c r="Q29" s="22">
        <f>('SERVISECURITAS 2009'!Q29*0.8/100)+'SERVISECURITAS 2009'!Q29</f>
        <v>8.0542425600000005</v>
      </c>
      <c r="R29" s="22">
        <f>('SERVISECURITAS 2009'!R29*0.8/100)+'SERVISECURITAS 2009'!R29</f>
        <v>13.440772800000001</v>
      </c>
      <c r="S29" s="22">
        <f>('SERVISECURITAS 2009'!S29*0.8/100)+'SERVISECURITAS 2009'!S29</f>
        <v>26.89176672</v>
      </c>
      <c r="T29" s="22">
        <v>24.66</v>
      </c>
      <c r="U29" s="22">
        <f>('SERVISECURITAS 2009'!U29*0.8/100)+'SERVISECURITAS 2009'!U29</f>
        <v>118.96361567999999</v>
      </c>
      <c r="V29" s="22">
        <f>('SERVISECURITAS 2009'!V29*0.8/100)+'SERVISECURITAS 2009'!V29</f>
        <v>102.21120000000001</v>
      </c>
      <c r="W29" s="22">
        <f t="shared" si="13"/>
        <v>31.954999999999998</v>
      </c>
      <c r="X29" s="23">
        <f t="shared" si="14"/>
        <v>1.0651666666666666</v>
      </c>
      <c r="Y29" s="22">
        <f>('SERVISECURITAS 2009'!Y29*0.8/100)+'SERVISECURITAS 2009'!Y29</f>
        <v>47.896168319999994</v>
      </c>
    </row>
    <row r="30" spans="1:25" ht="18" customHeight="1" x14ac:dyDescent="0.2">
      <c r="A30" s="44">
        <v>60</v>
      </c>
      <c r="B30" s="21" t="s">
        <v>50</v>
      </c>
      <c r="C30" s="22">
        <v>639.1</v>
      </c>
      <c r="D30" s="23">
        <f t="shared" si="9"/>
        <v>21.303333333333335</v>
      </c>
      <c r="E30" s="22">
        <v>74.55</v>
      </c>
      <c r="F30" s="23">
        <f t="shared" si="10"/>
        <v>2.4849999999999999</v>
      </c>
      <c r="G30" s="22">
        <v>29.83</v>
      </c>
      <c r="H30" s="23">
        <f t="shared" si="11"/>
        <v>0.99433333333333329</v>
      </c>
      <c r="I30" s="22"/>
      <c r="J30" s="22"/>
      <c r="K30" s="15">
        <f t="shared" si="12"/>
        <v>743.48</v>
      </c>
      <c r="L30" s="22"/>
      <c r="M30" s="22">
        <v>6.7</v>
      </c>
      <c r="N30" s="22">
        <v>0.96</v>
      </c>
      <c r="O30" s="22">
        <f>('SERVISECURITAS 2009'!O30*0.8/100)+'SERVISECURITAS 2009'!O30</f>
        <v>0.22486464</v>
      </c>
      <c r="P30" s="22">
        <f>'SERVISECURITAS 2009'!P30*0.8/100+'SERVISECURITAS 2009'!P30</f>
        <v>0.252</v>
      </c>
      <c r="Q30" s="22">
        <f>('SERVISECURITAS 2009'!Q30*0.8/100)+'SERVISECURITAS 2009'!Q30</f>
        <v>8.0542425600000005</v>
      </c>
      <c r="R30" s="22">
        <f>('SERVISECURITAS 2009'!R30*0.8/100)+'SERVISECURITAS 2009'!R30</f>
        <v>13.440772800000001</v>
      </c>
      <c r="S30" s="22">
        <f>('SERVISECURITAS 2009'!S30*0.8/100)+'SERVISECURITAS 2009'!S30</f>
        <v>26.89176672</v>
      </c>
      <c r="T30" s="22">
        <v>24.66</v>
      </c>
      <c r="U30" s="22">
        <f>('SERVISECURITAS 2009'!U30*0.8/100)+'SERVISECURITAS 2009'!U30</f>
        <v>118.96361567999999</v>
      </c>
      <c r="V30" s="22">
        <f>('SERVISECURITAS 2009'!V30*0.8/100)+'SERVISECURITAS 2009'!V30</f>
        <v>102.21120000000001</v>
      </c>
      <c r="W30" s="22">
        <f t="shared" si="13"/>
        <v>31.954999999999998</v>
      </c>
      <c r="X30" s="23">
        <f t="shared" si="14"/>
        <v>1.0651666666666666</v>
      </c>
      <c r="Y30" s="22">
        <f>('SERVISECURITAS 2009'!Y30*0.8/100)+'SERVISECURITAS 2009'!Y30</f>
        <v>47.896168319999994</v>
      </c>
    </row>
    <row r="31" spans="1:25" ht="18" customHeight="1" x14ac:dyDescent="0.2">
      <c r="A31" s="44">
        <v>61</v>
      </c>
      <c r="B31" s="21" t="s">
        <v>51</v>
      </c>
      <c r="C31" s="22">
        <v>639.1</v>
      </c>
      <c r="D31" s="23">
        <f t="shared" si="9"/>
        <v>21.303333333333335</v>
      </c>
      <c r="E31" s="22">
        <v>74.55</v>
      </c>
      <c r="F31" s="23">
        <f t="shared" si="10"/>
        <v>2.4849999999999999</v>
      </c>
      <c r="G31" s="22">
        <v>29.83</v>
      </c>
      <c r="H31" s="23">
        <f t="shared" si="11"/>
        <v>0.99433333333333329</v>
      </c>
      <c r="I31" s="22"/>
      <c r="J31" s="22"/>
      <c r="K31" s="15">
        <f t="shared" si="12"/>
        <v>743.48</v>
      </c>
      <c r="L31" s="22"/>
      <c r="M31" s="22">
        <v>6.7</v>
      </c>
      <c r="N31" s="22">
        <v>0.96</v>
      </c>
      <c r="O31" s="22">
        <f>('SERVISECURITAS 2009'!O31*0.8/100)+'SERVISECURITAS 2009'!O31</f>
        <v>0.22486464</v>
      </c>
      <c r="P31" s="22">
        <f>'SERVISECURITAS 2009'!P31*0.8/100+'SERVISECURITAS 2009'!P31</f>
        <v>0.252</v>
      </c>
      <c r="Q31" s="22">
        <f>('SERVISECURITAS 2009'!Q31*0.8/100)+'SERVISECURITAS 2009'!Q31</f>
        <v>8.0542425600000005</v>
      </c>
      <c r="R31" s="22">
        <f>('SERVISECURITAS 2009'!R31*0.8/100)+'SERVISECURITAS 2009'!R31</f>
        <v>13.440772800000001</v>
      </c>
      <c r="S31" s="22">
        <f>('SERVISECURITAS 2009'!S31*0.8/100)+'SERVISECURITAS 2009'!S31</f>
        <v>26.89176672</v>
      </c>
      <c r="T31" s="22">
        <v>24.66</v>
      </c>
      <c r="U31" s="22">
        <f>('SERVISECURITAS 2009'!U31*0.8/100)+'SERVISECURITAS 2009'!U31</f>
        <v>118.96361567999999</v>
      </c>
      <c r="V31" s="22">
        <f>('SERVISECURITAS 2009'!V31*0.8/100)+'SERVISECURITAS 2009'!V31</f>
        <v>102.21120000000001</v>
      </c>
      <c r="W31" s="22">
        <f t="shared" si="13"/>
        <v>31.954999999999998</v>
      </c>
      <c r="X31" s="23">
        <f t="shared" si="14"/>
        <v>1.0651666666666666</v>
      </c>
      <c r="Y31" s="22">
        <f>('SERVISECURITAS 2009'!Y31*0.8/100)+'SERVISECURITAS 2009'!Y31</f>
        <v>47.896168319999994</v>
      </c>
    </row>
    <row r="32" spans="1:25" ht="18" customHeight="1" x14ac:dyDescent="0.2">
      <c r="A32" s="44">
        <v>46</v>
      </c>
      <c r="B32" s="21" t="s">
        <v>37</v>
      </c>
      <c r="C32" s="22">
        <v>678.11</v>
      </c>
      <c r="D32" s="23">
        <f t="shared" si="9"/>
        <v>22.603666666666665</v>
      </c>
      <c r="E32" s="22">
        <v>74.55</v>
      </c>
      <c r="F32" s="23">
        <f t="shared" si="10"/>
        <v>2.4849999999999999</v>
      </c>
      <c r="G32" s="22">
        <v>29.83</v>
      </c>
      <c r="H32" s="23">
        <f t="shared" si="11"/>
        <v>0.99433333333333329</v>
      </c>
      <c r="I32" s="22">
        <v>78.319999999999993</v>
      </c>
      <c r="J32" s="23">
        <f>I32/30</f>
        <v>2.6106666666666665</v>
      </c>
      <c r="K32" s="15">
        <f t="shared" si="12"/>
        <v>860.81</v>
      </c>
      <c r="L32" s="22"/>
      <c r="M32" s="22">
        <v>7.75</v>
      </c>
      <c r="N32" s="22">
        <v>1.03</v>
      </c>
      <c r="O32" s="22">
        <f>('SERVISECURITAS 2009'!O32*0.8/100)+'SERVISECURITAS 2009'!O32</f>
        <v>0.22486464</v>
      </c>
      <c r="P32" s="22">
        <f>'SERVISECURITAS 2009'!P32*0.8/100+'SERVISECURITAS 2009'!P32</f>
        <v>0.252</v>
      </c>
      <c r="Q32" s="22">
        <f>('SERVISECURITAS 2009'!Q32*0.8/100)+'SERVISECURITAS 2009'!Q32</f>
        <v>8.0542425600000005</v>
      </c>
      <c r="R32" s="22">
        <f>('SERVISECURITAS 2009'!R32*0.8/100)+'SERVISECURITAS 2009'!R32</f>
        <v>13.440772800000001</v>
      </c>
      <c r="S32" s="22">
        <f>('SERVISECURITAS 2009'!S32*0.8/100)+'SERVISECURITAS 2009'!S32</f>
        <v>26.89176672</v>
      </c>
      <c r="T32" s="22">
        <v>24.66</v>
      </c>
      <c r="U32" s="22">
        <f>('SERVISECURITAS 2009'!U32*0.8/100)+'SERVISECURITAS 2009'!U32</f>
        <v>118.96361567999999</v>
      </c>
      <c r="V32" s="22">
        <f>('SERVISECURITAS 2009'!V32*0.8/100)+'SERVISECURITAS 2009'!V32</f>
        <v>102.21120000000001</v>
      </c>
      <c r="W32" s="22">
        <f t="shared" si="13"/>
        <v>33.905500000000004</v>
      </c>
      <c r="X32" s="23">
        <f t="shared" si="14"/>
        <v>1.1301833333333335</v>
      </c>
      <c r="Y32" s="22">
        <f>('SERVISECURITAS 2009'!Y32*0.8/100)+'SERVISECURITAS 2009'!Y32</f>
        <v>47.896168319999994</v>
      </c>
    </row>
    <row r="33" spans="1:25" ht="18" customHeight="1" x14ac:dyDescent="0.2">
      <c r="A33" s="43"/>
      <c r="B33" s="27" t="s">
        <v>38</v>
      </c>
      <c r="C33" s="28"/>
      <c r="D33" s="29"/>
      <c r="E33" s="28"/>
      <c r="F33" s="29"/>
      <c r="G33" s="28"/>
      <c r="H33" s="29"/>
      <c r="I33" s="28"/>
      <c r="J33" s="28"/>
      <c r="K33" s="45"/>
      <c r="L33" s="47"/>
      <c r="M33" s="18"/>
      <c r="N33" s="22"/>
      <c r="O33" s="22"/>
      <c r="P33" s="22"/>
      <c r="Q33" s="22"/>
      <c r="R33" s="22"/>
      <c r="S33" s="22"/>
      <c r="T33" s="22"/>
      <c r="U33" s="22"/>
      <c r="V33" s="28"/>
      <c r="W33" s="22"/>
      <c r="X33" s="30"/>
      <c r="Y33" s="22"/>
    </row>
    <row r="34" spans="1:25" ht="18" customHeight="1" x14ac:dyDescent="0.2">
      <c r="A34" s="44">
        <v>51</v>
      </c>
      <c r="B34" s="21" t="s">
        <v>39</v>
      </c>
      <c r="C34" s="22">
        <v>644.76</v>
      </c>
      <c r="D34" s="23">
        <f>C34/30</f>
        <v>21.492000000000001</v>
      </c>
      <c r="E34" s="22">
        <v>74.55</v>
      </c>
      <c r="F34" s="23">
        <f>E34/30</f>
        <v>2.4849999999999999</v>
      </c>
      <c r="G34" s="22"/>
      <c r="H34" s="24"/>
      <c r="I34" s="22"/>
      <c r="J34" s="22"/>
      <c r="K34" s="15">
        <f>C34+E34+G34+I34</f>
        <v>719.31</v>
      </c>
      <c r="L34" s="22"/>
      <c r="M34" s="22">
        <v>6.7</v>
      </c>
      <c r="N34" s="22">
        <v>0.99</v>
      </c>
      <c r="O34" s="22">
        <f>('SERVISECURITAS 2009'!O34*0.8/100)+'SERVISECURITAS 2009'!O34</f>
        <v>0.22486464</v>
      </c>
      <c r="P34" s="22">
        <f>'SERVISECURITAS 2009'!P34*0.8/100+'SERVISECURITAS 2009'!P34</f>
        <v>0.252</v>
      </c>
      <c r="Q34" s="22">
        <f>('SERVISECURITAS 2009'!Q34*0.8/100)+'SERVISECURITAS 2009'!Q34</f>
        <v>8.0542425600000005</v>
      </c>
      <c r="R34" s="22">
        <f>('SERVISECURITAS 2009'!R34*0.8/100)+'SERVISECURITAS 2009'!R34</f>
        <v>13.440772800000001</v>
      </c>
      <c r="S34" s="22">
        <f>('SERVISECURITAS 2009'!S34*0.8/100)+'SERVISECURITAS 2009'!S34</f>
        <v>26.89176672</v>
      </c>
      <c r="T34" s="22">
        <v>24.66</v>
      </c>
      <c r="U34" s="22">
        <f>('SERVISECURITAS 2009'!U34*0.8/100)+'SERVISECURITAS 2009'!U34</f>
        <v>118.96361567999999</v>
      </c>
      <c r="V34" s="22">
        <f>('SERVISECURITAS 2009'!V34*0.8/100)+'SERVISECURITAS 2009'!V34</f>
        <v>102.21120000000001</v>
      </c>
      <c r="W34" s="22">
        <f>C34*5/100</f>
        <v>32.238</v>
      </c>
      <c r="X34" s="23">
        <f>W34/30</f>
        <v>1.0746</v>
      </c>
      <c r="Y34" s="22">
        <f>('SERVISECURITAS 2009'!Y34*0.8/100)+'SERVISECURITAS 2009'!Y34</f>
        <v>47.896168319999994</v>
      </c>
    </row>
    <row r="35" spans="1:25" ht="18" customHeight="1" x14ac:dyDescent="0.2">
      <c r="A35" s="44">
        <v>903</v>
      </c>
      <c r="B35" s="21" t="s">
        <v>40</v>
      </c>
      <c r="C35" s="22">
        <v>633.29999999999995</v>
      </c>
      <c r="D35" s="23">
        <f>C35/30</f>
        <v>21.11</v>
      </c>
      <c r="E35" s="22">
        <v>74.55</v>
      </c>
      <c r="F35" s="23">
        <f>E35/30</f>
        <v>2.4849999999999999</v>
      </c>
      <c r="G35" s="22"/>
      <c r="H35" s="24"/>
      <c r="I35" s="22"/>
      <c r="J35" s="22"/>
      <c r="K35" s="15">
        <f>C35+E35+G35+I35</f>
        <v>707.84999999999991</v>
      </c>
      <c r="L35" s="22"/>
      <c r="M35" s="22">
        <v>6.7</v>
      </c>
      <c r="N35" s="22">
        <v>0.94</v>
      </c>
      <c r="O35" s="22">
        <f>('SERVISECURITAS 2009'!O35*0.8/100)+'SERVISECURITAS 2009'!O35</f>
        <v>0.22486464</v>
      </c>
      <c r="P35" s="22">
        <f>'SERVISECURITAS 2009'!P35*0.8/100+'SERVISECURITAS 2009'!P35</f>
        <v>0.252</v>
      </c>
      <c r="Q35" s="22">
        <f>('SERVISECURITAS 2009'!Q35*0.8/100)+'SERVISECURITAS 2009'!Q35</f>
        <v>8.0542425600000005</v>
      </c>
      <c r="R35" s="22">
        <f>('SERVISECURITAS 2009'!R35*0.8/100)+'SERVISECURITAS 2009'!R35</f>
        <v>13.440772800000001</v>
      </c>
      <c r="S35" s="22">
        <f>('SERVISECURITAS 2009'!S35*0.8/100)+'SERVISECURITAS 2009'!S35</f>
        <v>26.89176672</v>
      </c>
      <c r="T35" s="22">
        <v>24.66</v>
      </c>
      <c r="U35" s="22">
        <f>('SERVISECURITAS 2009'!U35*0.8/100)+'SERVISECURITAS 2009'!U35</f>
        <v>118.96361567999999</v>
      </c>
      <c r="V35" s="22">
        <f>('SERVISECURITAS 2009'!V35*0.8/100)+'SERVISECURITAS 2009'!V35</f>
        <v>102.21120000000001</v>
      </c>
      <c r="W35" s="22">
        <f>C35*5/100</f>
        <v>31.664999999999999</v>
      </c>
      <c r="X35" s="23">
        <f>W35/30</f>
        <v>1.0554999999999999</v>
      </c>
      <c r="Y35" s="22">
        <f>('SERVISECURITAS 2009'!Y35*0.8/100)+'SERVISECURITAS 2009'!Y35</f>
        <v>47.896168319999994</v>
      </c>
    </row>
    <row r="37" spans="1:25" ht="8.25" customHeight="1" x14ac:dyDescent="0.2"/>
    <row r="38" spans="1:25" ht="23.25" customHeight="1" x14ac:dyDescent="0.2">
      <c r="B38" s="40" t="s">
        <v>57</v>
      </c>
    </row>
    <row r="39" spans="1:25" ht="15" customHeight="1" x14ac:dyDescent="0.2"/>
    <row r="40" spans="1:25" ht="15" customHeight="1" x14ac:dyDescent="0.2"/>
    <row r="41" spans="1:25" ht="15" customHeight="1" x14ac:dyDescent="0.2"/>
    <row r="42" spans="1:25" ht="15" customHeight="1" x14ac:dyDescent="0.2"/>
    <row r="44" spans="1:25" ht="21" customHeight="1" x14ac:dyDescent="0.2"/>
  </sheetData>
  <sheetProtection password="CC0B" sheet="1" objects="1" scenarios="1" selectLockedCells="1" selectUnlockedCells="1"/>
  <printOptions horizontalCentered="1"/>
  <pageMargins left="0.19685039370078741" right="0.19685039370078741" top="0.94488188976377963" bottom="0.15748031496062992" header="0.43307086614173229" footer="0"/>
  <pageSetup paperSize="9" scale="76" orientation="landscape" r:id="rId1"/>
  <headerFooter alignWithMargins="0">
    <oddHeader xml:space="preserve">&amp;C&amp;"Times New Roman,Negrita"&amp;14&amp;ETABLA SALARIAL CONVENIO SERVICIOS SECURITAS, S.A.  (2010)&amp;10
</oddHeader>
  </headerFooter>
  <colBreaks count="1" manualBreakCount="1">
    <brk id="2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44"/>
  <sheetViews>
    <sheetView zoomScale="110" zoomScaleNormal="110" workbookViewId="0">
      <pane xSplit="2" ySplit="1" topLeftCell="C20" activePane="bottomRight" state="frozen"/>
      <selection pane="topRight" activeCell="C1" sqref="C1"/>
      <selection pane="bottomLeft" activeCell="A2" sqref="A2"/>
      <selection pane="bottomRight" activeCell="C1" sqref="C1"/>
    </sheetView>
  </sheetViews>
  <sheetFormatPr baseColWidth="10" defaultColWidth="10.140625" defaultRowHeight="12.75" x14ac:dyDescent="0.2"/>
  <cols>
    <col min="1" max="1" width="5.140625" bestFit="1" customWidth="1"/>
    <col min="2" max="2" width="45.5703125" bestFit="1" customWidth="1"/>
    <col min="3" max="3" width="7.85546875" customWidth="1"/>
    <col min="4" max="4" width="7.42578125" hidden="1" customWidth="1"/>
    <col min="5" max="5" width="7.85546875" customWidth="1"/>
    <col min="6" max="6" width="6.42578125" hidden="1" customWidth="1"/>
    <col min="7" max="7" width="6.5703125" customWidth="1"/>
    <col min="8" max="8" width="7" hidden="1" customWidth="1"/>
    <col min="9" max="9" width="6.85546875" bestFit="1" customWidth="1"/>
    <col min="10" max="10" width="7" hidden="1" customWidth="1"/>
    <col min="11" max="11" width="7.85546875" customWidth="1"/>
    <col min="12" max="12" width="8.140625" bestFit="1" customWidth="1"/>
    <col min="13" max="13" width="0.5703125" customWidth="1"/>
    <col min="14" max="14" width="6.5703125" bestFit="1" customWidth="1"/>
    <col min="15" max="15" width="7" customWidth="1"/>
    <col min="16" max="16" width="7.85546875" style="56" bestFit="1" customWidth="1"/>
    <col min="17" max="17" width="6.85546875" style="56" customWidth="1"/>
    <col min="18" max="18" width="7" customWidth="1"/>
    <col min="19" max="19" width="7.140625" customWidth="1"/>
    <col min="20" max="20" width="9.140625" bestFit="1" customWidth="1"/>
    <col min="21" max="21" width="10.85546875" bestFit="1" customWidth="1"/>
    <col min="22" max="22" width="10" customWidth="1"/>
    <col min="23" max="23" width="7.140625" bestFit="1" customWidth="1"/>
    <col min="24" max="24" width="10" bestFit="1" customWidth="1"/>
    <col min="25" max="25" width="7" hidden="1" customWidth="1"/>
    <col min="26" max="26" width="10.140625" bestFit="1" customWidth="1"/>
    <col min="27" max="27" width="1.140625" customWidth="1"/>
    <col min="28" max="28" width="6.42578125" customWidth="1"/>
    <col min="29" max="29" width="27.85546875" customWidth="1"/>
    <col min="30" max="30" width="7.85546875" bestFit="1" customWidth="1"/>
    <col min="31" max="31" width="7.85546875" customWidth="1"/>
    <col min="32" max="32" width="8.85546875" bestFit="1" customWidth="1"/>
    <col min="33" max="33" width="6.85546875" bestFit="1" customWidth="1"/>
    <col min="34" max="34" width="10.5703125" customWidth="1"/>
    <col min="35" max="35" width="7.85546875" bestFit="1" customWidth="1"/>
    <col min="36" max="36" width="8" bestFit="1" customWidth="1"/>
    <col min="37" max="37" width="9" customWidth="1"/>
    <col min="38" max="38" width="8.140625" customWidth="1"/>
    <col min="39" max="39" width="9" customWidth="1"/>
  </cols>
  <sheetData>
    <row r="1" spans="1:26" s="40" customFormat="1" ht="39.75" customHeight="1" x14ac:dyDescent="0.2">
      <c r="A1" s="48" t="s">
        <v>0</v>
      </c>
      <c r="B1" s="49" t="s">
        <v>1</v>
      </c>
      <c r="C1" s="41" t="s">
        <v>2</v>
      </c>
      <c r="D1" s="50">
        <v>110021</v>
      </c>
      <c r="E1" s="41" t="s">
        <v>3</v>
      </c>
      <c r="F1" s="51">
        <v>15220</v>
      </c>
      <c r="G1" s="41" t="s">
        <v>4</v>
      </c>
      <c r="H1" s="51">
        <v>116220</v>
      </c>
      <c r="I1" s="41" t="s">
        <v>5</v>
      </c>
      <c r="J1" s="50">
        <v>117520</v>
      </c>
      <c r="K1" s="52" t="s">
        <v>62</v>
      </c>
      <c r="L1" s="52" t="s">
        <v>63</v>
      </c>
      <c r="M1" s="41"/>
      <c r="N1" s="57" t="s">
        <v>55</v>
      </c>
      <c r="O1" s="41" t="s">
        <v>56</v>
      </c>
      <c r="P1" s="41" t="s">
        <v>9</v>
      </c>
      <c r="Q1" s="41" t="s">
        <v>54</v>
      </c>
      <c r="R1" s="41" t="s">
        <v>41</v>
      </c>
      <c r="S1" s="41" t="s">
        <v>42</v>
      </c>
      <c r="T1" s="41" t="s">
        <v>43</v>
      </c>
      <c r="U1" s="41" t="s">
        <v>44</v>
      </c>
      <c r="V1" s="41" t="s">
        <v>10</v>
      </c>
      <c r="W1" s="41" t="s">
        <v>45</v>
      </c>
      <c r="X1" s="41" t="s">
        <v>11</v>
      </c>
      <c r="Y1" s="54">
        <v>110900</v>
      </c>
      <c r="Z1" s="55" t="s">
        <v>12</v>
      </c>
    </row>
    <row r="2" spans="1:26" ht="18" customHeight="1" x14ac:dyDescent="0.2">
      <c r="A2" s="43"/>
      <c r="B2" s="11" t="s">
        <v>13</v>
      </c>
      <c r="C2" s="12"/>
      <c r="D2" s="13"/>
      <c r="E2" s="12"/>
      <c r="F2" s="13"/>
      <c r="G2" s="12"/>
      <c r="H2" s="13"/>
      <c r="I2" s="12"/>
      <c r="J2" s="12"/>
      <c r="K2" s="12"/>
      <c r="L2" s="12"/>
      <c r="M2" s="22"/>
      <c r="N2" s="12"/>
      <c r="O2" s="12"/>
      <c r="P2" s="16"/>
      <c r="Q2" s="16"/>
      <c r="R2" s="16"/>
      <c r="S2" s="16"/>
      <c r="T2" s="16"/>
      <c r="U2" s="16"/>
      <c r="V2" s="16"/>
      <c r="W2" s="16"/>
      <c r="X2" s="17"/>
      <c r="Y2" s="18"/>
      <c r="Z2" s="19"/>
    </row>
    <row r="3" spans="1:26" ht="18" customHeight="1" x14ac:dyDescent="0.2">
      <c r="A3" s="44">
        <v>102</v>
      </c>
      <c r="B3" s="21" t="s">
        <v>14</v>
      </c>
      <c r="C3" s="22">
        <v>1502.71</v>
      </c>
      <c r="D3" s="23">
        <f t="shared" ref="D3:D10" si="0">C3/30</f>
        <v>50.090333333333334</v>
      </c>
      <c r="E3" s="22">
        <v>72.63</v>
      </c>
      <c r="F3" s="23">
        <f t="shared" ref="F3:F10" si="1">E3/30</f>
        <v>2.4209999999999998</v>
      </c>
      <c r="G3" s="22"/>
      <c r="H3" s="24"/>
      <c r="I3" s="22"/>
      <c r="J3" s="22"/>
      <c r="K3" s="15">
        <f t="shared" ref="K3:K10" si="2">+I3+G3+E3+C3</f>
        <v>1575.3400000000001</v>
      </c>
      <c r="L3" s="15">
        <f>((C3+I3)*14)+((E3+G3)*12)+120</f>
        <v>22029.500000000004</v>
      </c>
      <c r="M3" s="22"/>
      <c r="N3" s="46"/>
      <c r="O3" s="22"/>
      <c r="P3" s="22">
        <f>('SERVISECURITAS 2009'!O3*0.8/100)+'SERVISECURITAS 2009'!O3</f>
        <v>0.22486464</v>
      </c>
      <c r="Q3" s="22"/>
      <c r="R3" s="22">
        <f>('SERVISECURITAS 2009'!Q3*0.8/100)+'SERVISECURITAS 2009'!Q3</f>
        <v>8.0542425600000005</v>
      </c>
      <c r="S3" s="22">
        <f>('SERVISECURITAS 2009'!R3*0.8/100)+'SERVISECURITAS 2009'!R3</f>
        <v>13.440772800000001</v>
      </c>
      <c r="T3" s="22">
        <f>('SERVISECURITAS 2009'!S3*0.8/100)+'SERVISECURITAS 2009'!S3</f>
        <v>26.89176672</v>
      </c>
      <c r="U3" s="22">
        <v>24.66</v>
      </c>
      <c r="V3" s="22">
        <f>('SERVISECURITAS 2009'!U3*0.8/100)+'SERVISECURITAS 2009'!U3</f>
        <v>118.96361567999999</v>
      </c>
      <c r="W3" s="22">
        <f>('SERVISECURITAS 2009'!V3*0.8/100)+'SERVISECURITAS 2009'!V3</f>
        <v>102.21120000000001</v>
      </c>
      <c r="X3" s="22">
        <f>C3*5/100</f>
        <v>75.135500000000008</v>
      </c>
      <c r="Y3" s="23">
        <f t="shared" ref="Y3:Y10" si="3">X3/30</f>
        <v>2.5045166666666669</v>
      </c>
      <c r="Z3" s="22">
        <f>('SERVISECURITAS 2009'!Y3*0.8/100)+'SERVISECURITAS 2009'!Y3</f>
        <v>47.896168319999994</v>
      </c>
    </row>
    <row r="4" spans="1:26" ht="18" customHeight="1" x14ac:dyDescent="0.2">
      <c r="A4" s="44">
        <v>105</v>
      </c>
      <c r="B4" s="21" t="s">
        <v>15</v>
      </c>
      <c r="C4" s="22">
        <v>1428.27</v>
      </c>
      <c r="D4" s="23">
        <f t="shared" si="0"/>
        <v>47.609000000000002</v>
      </c>
      <c r="E4" s="22">
        <v>72.63</v>
      </c>
      <c r="F4" s="23">
        <f t="shared" si="1"/>
        <v>2.4209999999999998</v>
      </c>
      <c r="G4" s="22"/>
      <c r="H4" s="24"/>
      <c r="I4" s="22"/>
      <c r="J4" s="22"/>
      <c r="K4" s="15">
        <f t="shared" si="2"/>
        <v>1500.9</v>
      </c>
      <c r="L4" s="15">
        <f t="shared" ref="L4:L10" si="4">((C4+I4)*14)+((E4+G4)*12)+120</f>
        <v>20987.34</v>
      </c>
      <c r="M4" s="22"/>
      <c r="N4" s="46"/>
      <c r="O4" s="22"/>
      <c r="P4" s="22">
        <f>('SERVISECURITAS 2009'!O4*0.8/100)+'SERVISECURITAS 2009'!O4</f>
        <v>0.22486464</v>
      </c>
      <c r="Q4" s="22"/>
      <c r="R4" s="22">
        <f>('SERVISECURITAS 2009'!Q4*0.8/100)+'SERVISECURITAS 2009'!Q4</f>
        <v>8.0542425600000005</v>
      </c>
      <c r="S4" s="22">
        <f>('SERVISECURITAS 2009'!R4*0.8/100)+'SERVISECURITAS 2009'!R4</f>
        <v>13.440772800000001</v>
      </c>
      <c r="T4" s="22">
        <f>('SERVISECURITAS 2009'!S4*0.8/100)+'SERVISECURITAS 2009'!S4</f>
        <v>26.89176672</v>
      </c>
      <c r="U4" s="22">
        <v>24.66</v>
      </c>
      <c r="V4" s="22">
        <f>('SERVISECURITAS 2009'!U4*0.8/100)+'SERVISECURITAS 2009'!U4</f>
        <v>118.96361567999999</v>
      </c>
      <c r="W4" s="22">
        <f>('SERVISECURITAS 2009'!V4*0.8/100)+'SERVISECURITAS 2009'!V4</f>
        <v>102.21120000000001</v>
      </c>
      <c r="X4" s="22">
        <f t="shared" ref="X4:X10" si="5">C4*5/100</f>
        <v>71.413499999999999</v>
      </c>
      <c r="Y4" s="23">
        <f t="shared" si="3"/>
        <v>2.3804500000000002</v>
      </c>
      <c r="Z4" s="22">
        <f>('SERVISECURITAS 2009'!Y4*0.8/100)+'SERVISECURITAS 2009'!Y4</f>
        <v>47.896168319999994</v>
      </c>
    </row>
    <row r="5" spans="1:26" ht="18" customHeight="1" x14ac:dyDescent="0.2">
      <c r="A5" s="44">
        <v>109</v>
      </c>
      <c r="B5" s="21" t="s">
        <v>16</v>
      </c>
      <c r="C5" s="22">
        <v>1428.27</v>
      </c>
      <c r="D5" s="23">
        <f t="shared" si="0"/>
        <v>47.609000000000002</v>
      </c>
      <c r="E5" s="22">
        <v>72.63</v>
      </c>
      <c r="F5" s="23">
        <f t="shared" si="1"/>
        <v>2.4209999999999998</v>
      </c>
      <c r="G5" s="22"/>
      <c r="H5" s="24"/>
      <c r="I5" s="22"/>
      <c r="J5" s="22"/>
      <c r="K5" s="15">
        <f t="shared" si="2"/>
        <v>1500.9</v>
      </c>
      <c r="L5" s="15">
        <f t="shared" si="4"/>
        <v>20987.34</v>
      </c>
      <c r="M5" s="22"/>
      <c r="N5" s="46"/>
      <c r="O5" s="22"/>
      <c r="P5" s="22">
        <f>('SERVISECURITAS 2009'!O5*0.8/100)+'SERVISECURITAS 2009'!O5</f>
        <v>0.22486464</v>
      </c>
      <c r="Q5" s="22"/>
      <c r="R5" s="22">
        <f>('SERVISECURITAS 2009'!Q5*0.8/100)+'SERVISECURITAS 2009'!Q5</f>
        <v>8.0542425600000005</v>
      </c>
      <c r="S5" s="22">
        <f>('SERVISECURITAS 2009'!R5*0.8/100)+'SERVISECURITAS 2009'!R5</f>
        <v>13.440772800000001</v>
      </c>
      <c r="T5" s="22">
        <f>('SERVISECURITAS 2009'!S5*0.8/100)+'SERVISECURITAS 2009'!S5</f>
        <v>26.89176672</v>
      </c>
      <c r="U5" s="22">
        <v>24.66</v>
      </c>
      <c r="V5" s="22">
        <f>('SERVISECURITAS 2009'!U5*0.8/100)+'SERVISECURITAS 2009'!U5</f>
        <v>118.96361567999999</v>
      </c>
      <c r="W5" s="22">
        <f>('SERVISECURITAS 2009'!V5*0.8/100)+'SERVISECURITAS 2009'!V5</f>
        <v>102.21120000000001</v>
      </c>
      <c r="X5" s="22">
        <f t="shared" si="5"/>
        <v>71.413499999999999</v>
      </c>
      <c r="Y5" s="23">
        <f t="shared" si="3"/>
        <v>2.3804500000000002</v>
      </c>
      <c r="Z5" s="22">
        <f>('SERVISECURITAS 2009'!Y5*0.8/100)+'SERVISECURITAS 2009'!Y5</f>
        <v>47.896168319999994</v>
      </c>
    </row>
    <row r="6" spans="1:26" ht="18" customHeight="1" x14ac:dyDescent="0.2">
      <c r="A6" s="44">
        <v>103</v>
      </c>
      <c r="B6" s="21" t="s">
        <v>46</v>
      </c>
      <c r="C6" s="22">
        <v>1428.27</v>
      </c>
      <c r="D6" s="23">
        <f t="shared" si="0"/>
        <v>47.609000000000002</v>
      </c>
      <c r="E6" s="22">
        <v>72.63</v>
      </c>
      <c r="F6" s="23">
        <f t="shared" si="1"/>
        <v>2.4209999999999998</v>
      </c>
      <c r="G6" s="22"/>
      <c r="H6" s="24"/>
      <c r="I6" s="22"/>
      <c r="J6" s="22"/>
      <c r="K6" s="15">
        <f t="shared" si="2"/>
        <v>1500.9</v>
      </c>
      <c r="L6" s="15">
        <f t="shared" si="4"/>
        <v>20987.34</v>
      </c>
      <c r="M6" s="22"/>
      <c r="N6" s="46"/>
      <c r="O6" s="22"/>
      <c r="P6" s="22">
        <f>('SERVISECURITAS 2009'!O6*0.8/100)+'SERVISECURITAS 2009'!O6</f>
        <v>0.22486464</v>
      </c>
      <c r="Q6" s="22"/>
      <c r="R6" s="22">
        <f>('SERVISECURITAS 2009'!Q6*0.8/100)+'SERVISECURITAS 2009'!Q6</f>
        <v>8.0542425600000005</v>
      </c>
      <c r="S6" s="22">
        <f>('SERVISECURITAS 2009'!R6*0.8/100)+'SERVISECURITAS 2009'!R6</f>
        <v>13.440772800000001</v>
      </c>
      <c r="T6" s="22">
        <f>('SERVISECURITAS 2009'!S6*0.8/100)+'SERVISECURITAS 2009'!S6</f>
        <v>26.89176672</v>
      </c>
      <c r="U6" s="22">
        <v>24.66</v>
      </c>
      <c r="V6" s="22">
        <f>('SERVISECURITAS 2009'!U6*0.8/100)+'SERVISECURITAS 2009'!U6</f>
        <v>118.96361567999999</v>
      </c>
      <c r="W6" s="22">
        <f>('SERVISECURITAS 2009'!V6*0.8/100)+'SERVISECURITAS 2009'!V6</f>
        <v>102.21120000000001</v>
      </c>
      <c r="X6" s="22">
        <f t="shared" si="5"/>
        <v>71.413499999999999</v>
      </c>
      <c r="Y6" s="23">
        <f t="shared" si="3"/>
        <v>2.3804500000000002</v>
      </c>
      <c r="Z6" s="22">
        <f>('SERVISECURITAS 2009'!Y6*0.8/100)+'SERVISECURITAS 2009'!Y6</f>
        <v>47.896168319999994</v>
      </c>
    </row>
    <row r="7" spans="1:26" ht="18" customHeight="1" x14ac:dyDescent="0.2">
      <c r="A7" s="44">
        <v>122</v>
      </c>
      <c r="B7" s="21" t="s">
        <v>17</v>
      </c>
      <c r="C7" s="22">
        <v>1357.7</v>
      </c>
      <c r="D7" s="23">
        <f t="shared" si="0"/>
        <v>45.256666666666668</v>
      </c>
      <c r="E7" s="22">
        <v>72.63</v>
      </c>
      <c r="F7" s="23">
        <f t="shared" si="1"/>
        <v>2.4209999999999998</v>
      </c>
      <c r="G7" s="22"/>
      <c r="H7" s="24"/>
      <c r="I7" s="22"/>
      <c r="J7" s="22"/>
      <c r="K7" s="15">
        <f t="shared" si="2"/>
        <v>1430.33</v>
      </c>
      <c r="L7" s="15">
        <f t="shared" si="4"/>
        <v>19999.36</v>
      </c>
      <c r="M7" s="22"/>
      <c r="N7" s="46"/>
      <c r="O7" s="22"/>
      <c r="P7" s="22">
        <f>('SERVISECURITAS 2009'!O7*0.8/100)+'SERVISECURITAS 2009'!O7</f>
        <v>0.22486464</v>
      </c>
      <c r="Q7" s="22"/>
      <c r="R7" s="22">
        <f>('SERVISECURITAS 2009'!Q7*0.8/100)+'SERVISECURITAS 2009'!Q7</f>
        <v>8.0542425600000005</v>
      </c>
      <c r="S7" s="22">
        <f>('SERVISECURITAS 2009'!R7*0.8/100)+'SERVISECURITAS 2009'!R7</f>
        <v>13.440772800000001</v>
      </c>
      <c r="T7" s="22">
        <f>('SERVISECURITAS 2009'!S7*0.8/100)+'SERVISECURITAS 2009'!S7</f>
        <v>26.89176672</v>
      </c>
      <c r="U7" s="22">
        <v>24.66</v>
      </c>
      <c r="V7" s="22">
        <f>('SERVISECURITAS 2009'!U7*0.8/100)+'SERVISECURITAS 2009'!U7</f>
        <v>118.96361567999999</v>
      </c>
      <c r="W7" s="22">
        <f>('SERVISECURITAS 2009'!V7*0.8/100)+'SERVISECURITAS 2009'!V7</f>
        <v>102.21120000000001</v>
      </c>
      <c r="X7" s="22">
        <f t="shared" si="5"/>
        <v>67.885000000000005</v>
      </c>
      <c r="Y7" s="23">
        <f t="shared" si="3"/>
        <v>2.2628333333333335</v>
      </c>
      <c r="Z7" s="22">
        <f>('SERVISECURITAS 2009'!Y7*0.8/100)+'SERVISECURITAS 2009'!Y7</f>
        <v>47.896168319999994</v>
      </c>
    </row>
    <row r="8" spans="1:26" ht="18" customHeight="1" x14ac:dyDescent="0.2">
      <c r="A8" s="44">
        <v>126</v>
      </c>
      <c r="B8" s="21" t="s">
        <v>47</v>
      </c>
      <c r="C8" s="22">
        <v>1357.7</v>
      </c>
      <c r="D8" s="23">
        <f t="shared" si="0"/>
        <v>45.256666666666668</v>
      </c>
      <c r="E8" s="22">
        <v>72.63</v>
      </c>
      <c r="F8" s="23">
        <f t="shared" si="1"/>
        <v>2.4209999999999998</v>
      </c>
      <c r="G8" s="22"/>
      <c r="H8" s="24"/>
      <c r="I8" s="22"/>
      <c r="J8" s="22"/>
      <c r="K8" s="15">
        <f t="shared" si="2"/>
        <v>1430.33</v>
      </c>
      <c r="L8" s="15">
        <f t="shared" si="4"/>
        <v>19999.36</v>
      </c>
      <c r="M8" s="22"/>
      <c r="N8" s="46"/>
      <c r="O8" s="22"/>
      <c r="P8" s="22">
        <f>('SERVISECURITAS 2009'!O8*0.8/100)+'SERVISECURITAS 2009'!O8</f>
        <v>0.22486464</v>
      </c>
      <c r="Q8" s="22"/>
      <c r="R8" s="22">
        <f>('SERVISECURITAS 2009'!Q8*0.8/100)+'SERVISECURITAS 2009'!Q8</f>
        <v>8.0542425600000005</v>
      </c>
      <c r="S8" s="22">
        <f>('SERVISECURITAS 2009'!R8*0.8/100)+'SERVISECURITAS 2009'!R8</f>
        <v>13.440772800000001</v>
      </c>
      <c r="T8" s="22">
        <f>('SERVISECURITAS 2009'!S8*0.8/100)+'SERVISECURITAS 2009'!S8</f>
        <v>26.89176672</v>
      </c>
      <c r="U8" s="22">
        <v>24.66</v>
      </c>
      <c r="V8" s="22">
        <f>('SERVISECURITAS 2009'!U8*0.8/100)+'SERVISECURITAS 2009'!U8</f>
        <v>118.96361567999999</v>
      </c>
      <c r="W8" s="22">
        <f>('SERVISECURITAS 2009'!V8*0.8/100)+'SERVISECURITAS 2009'!V8</f>
        <v>102.21120000000001</v>
      </c>
      <c r="X8" s="22">
        <f t="shared" si="5"/>
        <v>67.885000000000005</v>
      </c>
      <c r="Y8" s="23">
        <f t="shared" si="3"/>
        <v>2.2628333333333335</v>
      </c>
      <c r="Z8" s="22">
        <f>('SERVISECURITAS 2009'!Y8*0.8/100)+'SERVISECURITAS 2009'!Y8</f>
        <v>47.896168319999994</v>
      </c>
    </row>
    <row r="9" spans="1:26" ht="18" customHeight="1" x14ac:dyDescent="0.2">
      <c r="A9" s="44">
        <v>113</v>
      </c>
      <c r="B9" s="21" t="s">
        <v>18</v>
      </c>
      <c r="C9" s="22">
        <v>1357.7</v>
      </c>
      <c r="D9" s="23">
        <f t="shared" si="0"/>
        <v>45.256666666666668</v>
      </c>
      <c r="E9" s="22">
        <v>72.63</v>
      </c>
      <c r="F9" s="23">
        <f t="shared" si="1"/>
        <v>2.4209999999999998</v>
      </c>
      <c r="G9" s="22"/>
      <c r="H9" s="24"/>
      <c r="I9" s="22"/>
      <c r="J9" s="22"/>
      <c r="K9" s="15">
        <f t="shared" si="2"/>
        <v>1430.33</v>
      </c>
      <c r="L9" s="15">
        <f t="shared" si="4"/>
        <v>19999.36</v>
      </c>
      <c r="M9" s="22"/>
      <c r="N9" s="46"/>
      <c r="O9" s="22"/>
      <c r="P9" s="22">
        <f>('SERVISECURITAS 2009'!O9*0.8/100)+'SERVISECURITAS 2009'!O9</f>
        <v>0.22486464</v>
      </c>
      <c r="Q9" s="22"/>
      <c r="R9" s="22">
        <f>('SERVISECURITAS 2009'!Q9*0.8/100)+'SERVISECURITAS 2009'!Q9</f>
        <v>8.0542425600000005</v>
      </c>
      <c r="S9" s="22">
        <f>('SERVISECURITAS 2009'!R9*0.8/100)+'SERVISECURITAS 2009'!R9</f>
        <v>13.440772800000001</v>
      </c>
      <c r="T9" s="22">
        <f>('SERVISECURITAS 2009'!S9*0.8/100)+'SERVISECURITAS 2009'!S9</f>
        <v>26.89176672</v>
      </c>
      <c r="U9" s="22">
        <v>24.66</v>
      </c>
      <c r="V9" s="22">
        <f>('SERVISECURITAS 2009'!U9*0.8/100)+'SERVISECURITAS 2009'!U9</f>
        <v>118.96361567999999</v>
      </c>
      <c r="W9" s="22">
        <f>('SERVISECURITAS 2009'!V9*0.8/100)+'SERVISECURITAS 2009'!V9</f>
        <v>102.21120000000001</v>
      </c>
      <c r="X9" s="22">
        <f t="shared" si="5"/>
        <v>67.885000000000005</v>
      </c>
      <c r="Y9" s="23">
        <f t="shared" si="3"/>
        <v>2.2628333333333335</v>
      </c>
      <c r="Z9" s="22">
        <f>('SERVISECURITAS 2009'!Y9*0.8/100)+'SERVISECURITAS 2009'!Y9</f>
        <v>47.896168319999994</v>
      </c>
    </row>
    <row r="10" spans="1:26" ht="18" customHeight="1" x14ac:dyDescent="0.2">
      <c r="A10" s="44">
        <v>114</v>
      </c>
      <c r="B10" s="21" t="s">
        <v>19</v>
      </c>
      <c r="C10" s="22">
        <v>1290.69</v>
      </c>
      <c r="D10" s="23">
        <f t="shared" si="0"/>
        <v>43.023000000000003</v>
      </c>
      <c r="E10" s="22">
        <v>72.63</v>
      </c>
      <c r="F10" s="23">
        <f t="shared" si="1"/>
        <v>2.4209999999999998</v>
      </c>
      <c r="G10" s="22"/>
      <c r="H10" s="24"/>
      <c r="I10" s="22"/>
      <c r="J10" s="22"/>
      <c r="K10" s="15">
        <f t="shared" si="2"/>
        <v>1363.3200000000002</v>
      </c>
      <c r="L10" s="15">
        <f t="shared" si="4"/>
        <v>19061.22</v>
      </c>
      <c r="M10" s="22"/>
      <c r="N10" s="46"/>
      <c r="O10" s="22"/>
      <c r="P10" s="22">
        <f>('SERVISECURITAS 2009'!O10*0.8/100)+'SERVISECURITAS 2009'!O10</f>
        <v>0.22486464</v>
      </c>
      <c r="Q10" s="22"/>
      <c r="R10" s="22">
        <f>('SERVISECURITAS 2009'!Q10*0.8/100)+'SERVISECURITAS 2009'!Q10</f>
        <v>8.0542425600000005</v>
      </c>
      <c r="S10" s="22">
        <f>('SERVISECURITAS 2009'!R10*0.8/100)+'SERVISECURITAS 2009'!R10</f>
        <v>13.440772800000001</v>
      </c>
      <c r="T10" s="22">
        <f>('SERVISECURITAS 2009'!S10*0.8/100)+'SERVISECURITAS 2009'!S10</f>
        <v>26.89176672</v>
      </c>
      <c r="U10" s="22">
        <v>24.66</v>
      </c>
      <c r="V10" s="22">
        <f>('SERVISECURITAS 2009'!U10*0.8/100)+'SERVISECURITAS 2009'!U10</f>
        <v>118.96361567999999</v>
      </c>
      <c r="W10" s="22">
        <f>('SERVISECURITAS 2009'!V10*0.8/100)+'SERVISECURITAS 2009'!V10</f>
        <v>102.21120000000001</v>
      </c>
      <c r="X10" s="22">
        <f t="shared" si="5"/>
        <v>64.534500000000008</v>
      </c>
      <c r="Y10" s="23">
        <f t="shared" si="3"/>
        <v>2.1511500000000003</v>
      </c>
      <c r="Z10" s="22">
        <f>('SERVISECURITAS 2009'!Y10*0.8/100)+'SERVISECURITAS 2009'!Y10</f>
        <v>47.896168319999994</v>
      </c>
    </row>
    <row r="11" spans="1:26" ht="18" customHeight="1" x14ac:dyDescent="0.2">
      <c r="A11" s="43"/>
      <c r="B11" s="27" t="s">
        <v>20</v>
      </c>
      <c r="C11" s="28"/>
      <c r="D11" s="29"/>
      <c r="E11" s="28"/>
      <c r="F11" s="29"/>
      <c r="G11" s="12"/>
      <c r="H11" s="13"/>
      <c r="I11" s="12"/>
      <c r="J11" s="12"/>
      <c r="K11" s="12"/>
      <c r="L11" s="28"/>
      <c r="M11" s="47"/>
      <c r="N11" s="18"/>
      <c r="O11" s="22"/>
      <c r="P11" s="22"/>
      <c r="Q11" s="22"/>
      <c r="R11" s="22"/>
      <c r="S11" s="22"/>
      <c r="T11" s="22"/>
      <c r="U11" s="22"/>
      <c r="V11" s="22"/>
      <c r="W11" s="28"/>
      <c r="X11" s="22"/>
      <c r="Y11" s="30"/>
      <c r="Z11" s="22"/>
    </row>
    <row r="12" spans="1:26" ht="18" customHeight="1" x14ac:dyDescent="0.2">
      <c r="A12" s="44">
        <v>201</v>
      </c>
      <c r="B12" s="21" t="s">
        <v>21</v>
      </c>
      <c r="C12" s="22">
        <v>1297.47</v>
      </c>
      <c r="D12" s="23">
        <f t="shared" ref="D12:D20" si="6">C12/30</f>
        <v>43.249000000000002</v>
      </c>
      <c r="E12" s="22">
        <v>72.63</v>
      </c>
      <c r="F12" s="23">
        <f t="shared" ref="F12:F20" si="7">E12/30</f>
        <v>2.4209999999999998</v>
      </c>
      <c r="G12" s="22"/>
      <c r="H12" s="24"/>
      <c r="I12" s="22"/>
      <c r="J12" s="22"/>
      <c r="K12" s="15">
        <f t="shared" ref="K12:K20" si="8">+I12+G12+E12+C12</f>
        <v>1370.1</v>
      </c>
      <c r="L12" s="15">
        <f t="shared" ref="L12:L20" si="9">((C12+I12)*14)+((E12+G12)*12)+120</f>
        <v>19156.140000000003</v>
      </c>
      <c r="M12" s="22"/>
      <c r="N12" s="22">
        <v>15.18</v>
      </c>
      <c r="O12" s="22">
        <v>2.02</v>
      </c>
      <c r="P12" s="22">
        <f>('SERVISECURITAS 2009'!O12*0.8/100)+'SERVISECURITAS 2009'!O12</f>
        <v>0.22486464</v>
      </c>
      <c r="Q12" s="22">
        <f>'SERVISECURITAS 2009'!P12*0.8/100+'SERVISECURITAS 2009'!P12</f>
        <v>0.252</v>
      </c>
      <c r="R12" s="22">
        <f>('SERVISECURITAS 2009'!Q12*0.8/100)+'SERVISECURITAS 2009'!Q12</f>
        <v>8.0542425600000005</v>
      </c>
      <c r="S12" s="22">
        <f>('SERVISECURITAS 2009'!R12*0.8/100)+'SERVISECURITAS 2009'!R12</f>
        <v>13.440772800000001</v>
      </c>
      <c r="T12" s="22">
        <f>('SERVISECURITAS 2009'!S12*0.8/100)+'SERVISECURITAS 2009'!S12</f>
        <v>26.89176672</v>
      </c>
      <c r="U12" s="22">
        <v>24.66</v>
      </c>
      <c r="V12" s="22">
        <f>('SERVISECURITAS 2009'!U12*0.8/100)+'SERVISECURITAS 2009'!U12</f>
        <v>118.96361567999999</v>
      </c>
      <c r="W12" s="22">
        <f>('SERVISECURITAS 2009'!V12*0.8/100)+'SERVISECURITAS 2009'!V12</f>
        <v>102.21120000000001</v>
      </c>
      <c r="X12" s="22">
        <f t="shared" ref="X12:X20" si="10">C12*5/100</f>
        <v>64.873500000000007</v>
      </c>
      <c r="Y12" s="23">
        <f t="shared" ref="Y12:Y20" si="11">X12/30</f>
        <v>2.1624500000000002</v>
      </c>
      <c r="Z12" s="22">
        <f>('SERVISECURITAS 2009'!Y12*0.8/100)+'SERVISECURITAS 2009'!Y12</f>
        <v>47.896168319999994</v>
      </c>
    </row>
    <row r="13" spans="1:26" ht="18" customHeight="1" x14ac:dyDescent="0.2">
      <c r="A13" s="44">
        <v>120</v>
      </c>
      <c r="B13" s="21" t="s">
        <v>48</v>
      </c>
      <c r="C13" s="22">
        <v>1297.47</v>
      </c>
      <c r="D13" s="23">
        <f t="shared" si="6"/>
        <v>43.249000000000002</v>
      </c>
      <c r="E13" s="22">
        <v>72.63</v>
      </c>
      <c r="F13" s="23">
        <f t="shared" si="7"/>
        <v>2.4209999999999998</v>
      </c>
      <c r="G13" s="22"/>
      <c r="H13" s="24"/>
      <c r="I13" s="22"/>
      <c r="J13" s="22"/>
      <c r="K13" s="15">
        <f t="shared" si="8"/>
        <v>1370.1</v>
      </c>
      <c r="L13" s="15">
        <f t="shared" si="9"/>
        <v>19156.140000000003</v>
      </c>
      <c r="M13" s="22"/>
      <c r="N13" s="22">
        <v>15.18</v>
      </c>
      <c r="O13" s="22">
        <v>2.02</v>
      </c>
      <c r="P13" s="22">
        <f>('SERVISECURITAS 2009'!O13*0.8/100)+'SERVISECURITAS 2009'!O13</f>
        <v>0.22486464</v>
      </c>
      <c r="Q13" s="22">
        <f>'SERVISECURITAS 2009'!P13*0.8/100+'SERVISECURITAS 2009'!P13</f>
        <v>0.252</v>
      </c>
      <c r="R13" s="22">
        <f>('SERVISECURITAS 2009'!Q13*0.8/100)+'SERVISECURITAS 2009'!Q13</f>
        <v>8.0542425600000005</v>
      </c>
      <c r="S13" s="22">
        <f>('SERVISECURITAS 2009'!R13*0.8/100)+'SERVISECURITAS 2009'!R13</f>
        <v>13.440772800000001</v>
      </c>
      <c r="T13" s="22">
        <f>('SERVISECURITAS 2009'!S13*0.8/100)+'SERVISECURITAS 2009'!S13</f>
        <v>26.89176672</v>
      </c>
      <c r="U13" s="22">
        <v>24.66</v>
      </c>
      <c r="V13" s="22">
        <f>('SERVISECURITAS 2009'!U13*0.8/100)+'SERVISECURITAS 2009'!U13</f>
        <v>118.96361567999999</v>
      </c>
      <c r="W13" s="22">
        <f>('SERVISECURITAS 2009'!V13*0.8/100)+'SERVISECURITAS 2009'!V13</f>
        <v>102.21120000000001</v>
      </c>
      <c r="X13" s="22">
        <f t="shared" si="10"/>
        <v>64.873500000000007</v>
      </c>
      <c r="Y13" s="23">
        <f t="shared" si="11"/>
        <v>2.1624500000000002</v>
      </c>
      <c r="Z13" s="22">
        <f>('SERVISECURITAS 2009'!Y13*0.8/100)+'SERVISECURITAS 2009'!Y13</f>
        <v>47.896168319999994</v>
      </c>
    </row>
    <row r="14" spans="1:26" ht="18" customHeight="1" x14ac:dyDescent="0.2">
      <c r="A14" s="44">
        <v>207</v>
      </c>
      <c r="B14" s="21" t="s">
        <v>49</v>
      </c>
      <c r="C14" s="22">
        <v>963.43</v>
      </c>
      <c r="D14" s="23">
        <f t="shared" si="6"/>
        <v>32.114333333333335</v>
      </c>
      <c r="E14" s="22">
        <v>72.63</v>
      </c>
      <c r="F14" s="23">
        <f t="shared" si="7"/>
        <v>2.4209999999999998</v>
      </c>
      <c r="G14" s="22"/>
      <c r="H14" s="24"/>
      <c r="I14" s="22"/>
      <c r="J14" s="22"/>
      <c r="K14" s="15">
        <f t="shared" si="8"/>
        <v>1036.06</v>
      </c>
      <c r="L14" s="15">
        <f t="shared" si="9"/>
        <v>14479.579999999998</v>
      </c>
      <c r="M14" s="22"/>
      <c r="N14" s="22">
        <v>11.24</v>
      </c>
      <c r="O14" s="22">
        <v>1.49</v>
      </c>
      <c r="P14" s="22">
        <f>('SERVISECURITAS 2009'!O14*0.8/100)+'SERVISECURITAS 2009'!O14</f>
        <v>0.22486464</v>
      </c>
      <c r="Q14" s="22">
        <f>'SERVISECURITAS 2009'!P14*0.8/100+'SERVISECURITAS 2009'!P14</f>
        <v>0.252</v>
      </c>
      <c r="R14" s="22">
        <f>('SERVISECURITAS 2009'!Q14*0.8/100)+'SERVISECURITAS 2009'!Q14</f>
        <v>8.0542425600000005</v>
      </c>
      <c r="S14" s="22">
        <f>('SERVISECURITAS 2009'!R14*0.8/100)+'SERVISECURITAS 2009'!R14</f>
        <v>13.440772800000001</v>
      </c>
      <c r="T14" s="22">
        <f>('SERVISECURITAS 2009'!S14*0.8/100)+'SERVISECURITAS 2009'!S14</f>
        <v>26.89176672</v>
      </c>
      <c r="U14" s="22">
        <v>24.66</v>
      </c>
      <c r="V14" s="22">
        <f>('SERVISECURITAS 2009'!U14*0.8/100)+'SERVISECURITAS 2009'!U14</f>
        <v>118.96361567999999</v>
      </c>
      <c r="W14" s="22">
        <f>('SERVISECURITAS 2009'!V14*0.8/100)+'SERVISECURITAS 2009'!V14</f>
        <v>102.21120000000001</v>
      </c>
      <c r="X14" s="22">
        <f t="shared" si="10"/>
        <v>48.171499999999995</v>
      </c>
      <c r="Y14" s="23">
        <f t="shared" si="11"/>
        <v>1.6057166666666665</v>
      </c>
      <c r="Z14" s="22">
        <f>('SERVISECURITAS 2009'!Y14*0.8/100)+'SERVISECURITAS 2009'!Y14</f>
        <v>47.896168319999994</v>
      </c>
    </row>
    <row r="15" spans="1:26" ht="18" customHeight="1" x14ac:dyDescent="0.2">
      <c r="A15" s="44">
        <v>202</v>
      </c>
      <c r="B15" s="21" t="s">
        <v>22</v>
      </c>
      <c r="C15" s="22">
        <v>1161.31</v>
      </c>
      <c r="D15" s="23">
        <f t="shared" si="6"/>
        <v>38.710333333333331</v>
      </c>
      <c r="E15" s="22">
        <v>72.63</v>
      </c>
      <c r="F15" s="23">
        <f t="shared" si="7"/>
        <v>2.4209999999999998</v>
      </c>
      <c r="G15" s="22"/>
      <c r="H15" s="24"/>
      <c r="I15" s="22"/>
      <c r="J15" s="22"/>
      <c r="K15" s="15">
        <f t="shared" si="8"/>
        <v>1233.94</v>
      </c>
      <c r="L15" s="15">
        <f t="shared" si="9"/>
        <v>17249.900000000001</v>
      </c>
      <c r="M15" s="22"/>
      <c r="N15" s="22">
        <v>14.96</v>
      </c>
      <c r="O15" s="22">
        <v>1.79</v>
      </c>
      <c r="P15" s="22">
        <f>('SERVISECURITAS 2009'!O15*0.8/100)+'SERVISECURITAS 2009'!O15</f>
        <v>0.22486464</v>
      </c>
      <c r="Q15" s="22">
        <f>'SERVISECURITAS 2009'!P15*0.8/100+'SERVISECURITAS 2009'!P15</f>
        <v>0.252</v>
      </c>
      <c r="R15" s="22">
        <f>('SERVISECURITAS 2009'!Q15*0.8/100)+'SERVISECURITAS 2009'!Q15</f>
        <v>8.0542425600000005</v>
      </c>
      <c r="S15" s="22">
        <f>('SERVISECURITAS 2009'!R15*0.8/100)+'SERVISECURITAS 2009'!R15</f>
        <v>13.440772800000001</v>
      </c>
      <c r="T15" s="22">
        <f>('SERVISECURITAS 2009'!S15*0.8/100)+'SERVISECURITAS 2009'!S15</f>
        <v>26.89176672</v>
      </c>
      <c r="U15" s="22">
        <v>24.66</v>
      </c>
      <c r="V15" s="22">
        <f>('SERVISECURITAS 2009'!U15*0.8/100)+'SERVISECURITAS 2009'!U15</f>
        <v>118.96361567999999</v>
      </c>
      <c r="W15" s="22">
        <f>('SERVISECURITAS 2009'!V15*0.8/100)+'SERVISECURITAS 2009'!V15</f>
        <v>102.21120000000001</v>
      </c>
      <c r="X15" s="22">
        <f t="shared" si="10"/>
        <v>58.065499999999993</v>
      </c>
      <c r="Y15" s="23">
        <f t="shared" si="11"/>
        <v>1.9355166666666663</v>
      </c>
      <c r="Z15" s="22">
        <f>('SERVISECURITAS 2009'!Y15*0.8/100)+'SERVISECURITAS 2009'!Y15</f>
        <v>47.896168319999994</v>
      </c>
    </row>
    <row r="16" spans="1:26" ht="18" customHeight="1" x14ac:dyDescent="0.2">
      <c r="A16" s="44">
        <v>203</v>
      </c>
      <c r="B16" s="21" t="s">
        <v>23</v>
      </c>
      <c r="C16" s="22">
        <v>955.37</v>
      </c>
      <c r="D16" s="23">
        <f t="shared" si="6"/>
        <v>31.845666666666666</v>
      </c>
      <c r="E16" s="22">
        <v>72.63</v>
      </c>
      <c r="F16" s="23">
        <f t="shared" si="7"/>
        <v>2.4209999999999998</v>
      </c>
      <c r="G16" s="22"/>
      <c r="H16" s="24"/>
      <c r="I16" s="22"/>
      <c r="J16" s="22"/>
      <c r="K16" s="15">
        <f t="shared" si="8"/>
        <v>1028</v>
      </c>
      <c r="L16" s="15">
        <f t="shared" si="9"/>
        <v>14366.74</v>
      </c>
      <c r="M16" s="22"/>
      <c r="N16" s="22">
        <v>13.57</v>
      </c>
      <c r="O16" s="22">
        <v>1.47</v>
      </c>
      <c r="P16" s="22">
        <f>('SERVISECURITAS 2009'!O16*0.8/100)+'SERVISECURITAS 2009'!O16</f>
        <v>0.22486464</v>
      </c>
      <c r="Q16" s="22">
        <f>'SERVISECURITAS 2009'!P16*0.8/100+'SERVISECURITAS 2009'!P16</f>
        <v>0.252</v>
      </c>
      <c r="R16" s="22">
        <f>('SERVISECURITAS 2009'!Q16*0.8/100)+'SERVISECURITAS 2009'!Q16</f>
        <v>8.0542425600000005</v>
      </c>
      <c r="S16" s="22">
        <f>('SERVISECURITAS 2009'!R16*0.8/100)+'SERVISECURITAS 2009'!R16</f>
        <v>13.440772800000001</v>
      </c>
      <c r="T16" s="22">
        <f>('SERVISECURITAS 2009'!S16*0.8/100)+'SERVISECURITAS 2009'!S16</f>
        <v>26.89176672</v>
      </c>
      <c r="U16" s="22">
        <v>24.66</v>
      </c>
      <c r="V16" s="22">
        <f>('SERVISECURITAS 2009'!U16*0.8/100)+'SERVISECURITAS 2009'!U16</f>
        <v>118.96361567999999</v>
      </c>
      <c r="W16" s="22">
        <f>('SERVISECURITAS 2009'!V16*0.8/100)+'SERVISECURITAS 2009'!V16</f>
        <v>102.21120000000001</v>
      </c>
      <c r="X16" s="22">
        <f t="shared" si="10"/>
        <v>47.768500000000003</v>
      </c>
      <c r="Y16" s="23">
        <f t="shared" si="11"/>
        <v>1.5922833333333335</v>
      </c>
      <c r="Z16" s="22">
        <f>('SERVISECURITAS 2009'!Y16*0.8/100)+'SERVISECURITAS 2009'!Y16</f>
        <v>47.896168319999994</v>
      </c>
    </row>
    <row r="17" spans="1:26" ht="18" customHeight="1" x14ac:dyDescent="0.2">
      <c r="A17" s="44">
        <v>204</v>
      </c>
      <c r="B17" s="21" t="s">
        <v>24</v>
      </c>
      <c r="C17" s="22">
        <v>877.42</v>
      </c>
      <c r="D17" s="23">
        <f t="shared" si="6"/>
        <v>29.247333333333334</v>
      </c>
      <c r="E17" s="22">
        <v>72.63</v>
      </c>
      <c r="F17" s="23">
        <f t="shared" si="7"/>
        <v>2.4209999999999998</v>
      </c>
      <c r="G17" s="22"/>
      <c r="H17" s="24"/>
      <c r="I17" s="22"/>
      <c r="J17" s="22"/>
      <c r="K17" s="15">
        <f t="shared" si="8"/>
        <v>950.05</v>
      </c>
      <c r="L17" s="15">
        <f t="shared" si="9"/>
        <v>13275.439999999999</v>
      </c>
      <c r="M17" s="22"/>
      <c r="N17" s="22">
        <v>10.18</v>
      </c>
      <c r="O17" s="22">
        <v>1.35</v>
      </c>
      <c r="P17" s="22">
        <f>('SERVISECURITAS 2009'!O17*0.8/100)+'SERVISECURITAS 2009'!O17</f>
        <v>0.22486464</v>
      </c>
      <c r="Q17" s="22">
        <f>'SERVISECURITAS 2009'!P17*0.8/100+'SERVISECURITAS 2009'!P17</f>
        <v>0.252</v>
      </c>
      <c r="R17" s="22">
        <f>('SERVISECURITAS 2009'!Q17*0.8/100)+'SERVISECURITAS 2009'!Q17</f>
        <v>8.0542425600000005</v>
      </c>
      <c r="S17" s="22">
        <f>('SERVISECURITAS 2009'!R17*0.8/100)+'SERVISECURITAS 2009'!R17</f>
        <v>13.440772800000001</v>
      </c>
      <c r="T17" s="22">
        <f>('SERVISECURITAS 2009'!S17*0.8/100)+'SERVISECURITAS 2009'!S17</f>
        <v>26.89176672</v>
      </c>
      <c r="U17" s="22">
        <v>24.66</v>
      </c>
      <c r="V17" s="22">
        <f>('SERVISECURITAS 2009'!U17*0.8/100)+'SERVISECURITAS 2009'!U17</f>
        <v>118.96361567999999</v>
      </c>
      <c r="W17" s="22">
        <f>('SERVISECURITAS 2009'!V17*0.8/100)+'SERVISECURITAS 2009'!V17</f>
        <v>102.21120000000001</v>
      </c>
      <c r="X17" s="22">
        <f t="shared" si="10"/>
        <v>43.870999999999995</v>
      </c>
      <c r="Y17" s="23">
        <f t="shared" si="11"/>
        <v>1.4623666666666666</v>
      </c>
      <c r="Z17" s="22">
        <f>('SERVISECURITAS 2009'!Y17*0.8/100)+'SERVISECURITAS 2009'!Y17</f>
        <v>47.896168319999994</v>
      </c>
    </row>
    <row r="18" spans="1:26" ht="18" customHeight="1" x14ac:dyDescent="0.2">
      <c r="A18" s="44">
        <v>206</v>
      </c>
      <c r="B18" s="21" t="s">
        <v>25</v>
      </c>
      <c r="C18" s="22">
        <v>690.09</v>
      </c>
      <c r="D18" s="23">
        <f t="shared" si="6"/>
        <v>23.003</v>
      </c>
      <c r="E18" s="22">
        <v>72.63</v>
      </c>
      <c r="F18" s="23">
        <f t="shared" si="7"/>
        <v>2.4209999999999998</v>
      </c>
      <c r="G18" s="22"/>
      <c r="H18" s="24"/>
      <c r="I18" s="22"/>
      <c r="J18" s="22"/>
      <c r="K18" s="15">
        <f t="shared" si="8"/>
        <v>762.72</v>
      </c>
      <c r="L18" s="15">
        <f t="shared" si="9"/>
        <v>10652.82</v>
      </c>
      <c r="M18" s="22"/>
      <c r="N18" s="22">
        <v>7.98</v>
      </c>
      <c r="O18" s="22">
        <v>1.04</v>
      </c>
      <c r="P18" s="22">
        <f>('SERVISECURITAS 2009'!O18*0.8/100)+'SERVISECURITAS 2009'!O18</f>
        <v>0.22486464</v>
      </c>
      <c r="Q18" s="22">
        <f>'SERVISECURITAS 2009'!P18*0.8/100+'SERVISECURITAS 2009'!P18</f>
        <v>0.252</v>
      </c>
      <c r="R18" s="22">
        <f>('SERVISECURITAS 2009'!Q18*0.8/100)+'SERVISECURITAS 2009'!Q18</f>
        <v>8.0542425600000005</v>
      </c>
      <c r="S18" s="22">
        <f>('SERVISECURITAS 2009'!R18*0.8/100)+'SERVISECURITAS 2009'!R18</f>
        <v>13.440772800000001</v>
      </c>
      <c r="T18" s="22">
        <f>('SERVISECURITAS 2009'!S18*0.8/100)+'SERVISECURITAS 2009'!S18</f>
        <v>26.89176672</v>
      </c>
      <c r="U18" s="22">
        <v>24.66</v>
      </c>
      <c r="V18" s="22">
        <f>('SERVISECURITAS 2009'!U18*0.8/100)+'SERVISECURITAS 2009'!U18</f>
        <v>118.96361567999999</v>
      </c>
      <c r="W18" s="22">
        <f>('SERVISECURITAS 2009'!V18*0.8/100)+'SERVISECURITAS 2009'!V18</f>
        <v>102.21120000000001</v>
      </c>
      <c r="X18" s="22">
        <f t="shared" si="10"/>
        <v>34.5045</v>
      </c>
      <c r="Y18" s="23">
        <f t="shared" si="11"/>
        <v>1.15015</v>
      </c>
      <c r="Z18" s="22">
        <f>('SERVISECURITAS 2009'!Y18*0.8/100)+'SERVISECURITAS 2009'!Y18</f>
        <v>47.896168319999994</v>
      </c>
    </row>
    <row r="19" spans="1:26" ht="18" customHeight="1" x14ac:dyDescent="0.2">
      <c r="A19" s="44">
        <v>210</v>
      </c>
      <c r="B19" s="21" t="s">
        <v>26</v>
      </c>
      <c r="C19" s="22">
        <v>641.4</v>
      </c>
      <c r="D19" s="23">
        <f t="shared" si="6"/>
        <v>21.38</v>
      </c>
      <c r="E19" s="22">
        <v>72.63</v>
      </c>
      <c r="F19" s="23">
        <f t="shared" si="7"/>
        <v>2.4209999999999998</v>
      </c>
      <c r="G19" s="22"/>
      <c r="H19" s="24"/>
      <c r="I19" s="22"/>
      <c r="J19" s="22"/>
      <c r="K19" s="15">
        <f t="shared" si="8"/>
        <v>714.03</v>
      </c>
      <c r="L19" s="15">
        <f t="shared" si="9"/>
        <v>9971.16</v>
      </c>
      <c r="M19" s="22"/>
      <c r="N19" s="22">
        <v>5.54</v>
      </c>
      <c r="O19" s="22">
        <v>0.94</v>
      </c>
      <c r="P19" s="22">
        <f>('SERVISECURITAS 2009'!O19*0.8/100)+'SERVISECURITAS 2009'!O19</f>
        <v>0.22486464</v>
      </c>
      <c r="Q19" s="22">
        <f>'SERVISECURITAS 2009'!P19*0.8/100+'SERVISECURITAS 2009'!P19</f>
        <v>0.252</v>
      </c>
      <c r="R19" s="22">
        <f>('SERVISECURITAS 2009'!Q19*0.8/100)+'SERVISECURITAS 2009'!Q19</f>
        <v>8.0542425600000005</v>
      </c>
      <c r="S19" s="22">
        <f>('SERVISECURITAS 2009'!R19*0.8/100)+'SERVISECURITAS 2009'!R19</f>
        <v>13.440772800000001</v>
      </c>
      <c r="T19" s="22">
        <f>('SERVISECURITAS 2009'!S19*0.8/100)+'SERVISECURITAS 2009'!S19</f>
        <v>26.89176672</v>
      </c>
      <c r="U19" s="22">
        <v>24.66</v>
      </c>
      <c r="V19" s="22">
        <f>('SERVISECURITAS 2009'!U19*0.8/100)+'SERVISECURITAS 2009'!U19</f>
        <v>118.96361567999999</v>
      </c>
      <c r="W19" s="22">
        <f>('SERVISECURITAS 2009'!V19*0.8/100)+'SERVISECURITAS 2009'!V19</f>
        <v>102.21120000000001</v>
      </c>
      <c r="X19" s="22">
        <f t="shared" si="10"/>
        <v>32.07</v>
      </c>
      <c r="Y19" s="23">
        <f t="shared" si="11"/>
        <v>1.069</v>
      </c>
      <c r="Z19" s="22">
        <f>('SERVISECURITAS 2009'!Y19*0.8/100)+'SERVISECURITAS 2009'!Y19</f>
        <v>47.896168319999994</v>
      </c>
    </row>
    <row r="20" spans="1:26" ht="18" customHeight="1" x14ac:dyDescent="0.2">
      <c r="A20" s="44">
        <v>209</v>
      </c>
      <c r="B20" s="21" t="s">
        <v>60</v>
      </c>
      <c r="C20" s="22">
        <v>690.09</v>
      </c>
      <c r="D20" s="23">
        <f t="shared" si="6"/>
        <v>23.003</v>
      </c>
      <c r="E20" s="22">
        <v>72.63</v>
      </c>
      <c r="F20" s="23">
        <f t="shared" si="7"/>
        <v>2.4209999999999998</v>
      </c>
      <c r="G20" s="22"/>
      <c r="H20" s="24"/>
      <c r="I20" s="22"/>
      <c r="J20" s="22"/>
      <c r="K20" s="15">
        <f t="shared" si="8"/>
        <v>762.72</v>
      </c>
      <c r="L20" s="15">
        <f t="shared" si="9"/>
        <v>10652.82</v>
      </c>
      <c r="M20" s="22"/>
      <c r="N20" s="22">
        <v>7.98</v>
      </c>
      <c r="O20" s="22">
        <v>1.05</v>
      </c>
      <c r="P20" s="22">
        <f>('SERVISECURITAS 2009'!O20*0.8/100)+'SERVISECURITAS 2009'!O20</f>
        <v>0.22486464</v>
      </c>
      <c r="Q20" s="22">
        <f>'SERVISECURITAS 2009'!P20*0.8/100+'SERVISECURITAS 2009'!P20</f>
        <v>0.252</v>
      </c>
      <c r="R20" s="22">
        <f>('SERVISECURITAS 2009'!Q20*0.8/100)+'SERVISECURITAS 2009'!Q20</f>
        <v>8.0542425600000005</v>
      </c>
      <c r="S20" s="22">
        <f>('SERVISECURITAS 2009'!R20*0.8/100)+'SERVISECURITAS 2009'!R20</f>
        <v>13.440772800000001</v>
      </c>
      <c r="T20" s="22">
        <f>('SERVISECURITAS 2009'!S20*0.8/100)+'SERVISECURITAS 2009'!S20</f>
        <v>26.89176672</v>
      </c>
      <c r="U20" s="22">
        <v>24.66</v>
      </c>
      <c r="V20" s="22">
        <f>('SERVISECURITAS 2009'!U20*0.8/100)+'SERVISECURITAS 2009'!U20</f>
        <v>118.96361567999999</v>
      </c>
      <c r="W20" s="22">
        <f>('SERVISECURITAS 2009'!V20*0.8/100)+'SERVISECURITAS 2009'!V20</f>
        <v>102.21120000000001</v>
      </c>
      <c r="X20" s="22">
        <f t="shared" si="10"/>
        <v>34.5045</v>
      </c>
      <c r="Y20" s="23">
        <f t="shared" si="11"/>
        <v>1.15015</v>
      </c>
      <c r="Z20" s="22">
        <f>('SERVISECURITAS 2009'!Y20*0.8/100)+'SERVISECURITAS 2009'!Y20</f>
        <v>47.896168319999994</v>
      </c>
    </row>
    <row r="21" spans="1:26" ht="18" customHeight="1" x14ac:dyDescent="0.2">
      <c r="A21" s="43"/>
      <c r="B21" s="27" t="s">
        <v>28</v>
      </c>
      <c r="C21" s="28"/>
      <c r="D21" s="29"/>
      <c r="E21" s="28"/>
      <c r="F21" s="29"/>
      <c r="G21" s="28"/>
      <c r="H21" s="29"/>
      <c r="I21" s="28"/>
      <c r="J21" s="28"/>
      <c r="K21" s="12"/>
      <c r="L21" s="28"/>
      <c r="M21" s="47"/>
      <c r="N21" s="18"/>
      <c r="O21" s="22"/>
      <c r="P21" s="22"/>
      <c r="Q21" s="22"/>
      <c r="R21" s="22"/>
      <c r="S21" s="22"/>
      <c r="T21" s="22"/>
      <c r="U21" s="22"/>
      <c r="V21" s="22"/>
      <c r="W21" s="28"/>
      <c r="X21" s="22"/>
      <c r="Y21" s="30"/>
      <c r="Z21" s="22"/>
    </row>
    <row r="22" spans="1:26" ht="18" customHeight="1" x14ac:dyDescent="0.2">
      <c r="A22" s="44">
        <v>504</v>
      </c>
      <c r="B22" s="21" t="s">
        <v>29</v>
      </c>
      <c r="C22" s="22">
        <v>1290.69</v>
      </c>
      <c r="D22" s="23">
        <f>C22/30</f>
        <v>43.023000000000003</v>
      </c>
      <c r="E22" s="22">
        <v>72.63</v>
      </c>
      <c r="F22" s="23">
        <f>E22/30</f>
        <v>2.4209999999999998</v>
      </c>
      <c r="G22" s="22"/>
      <c r="H22" s="24"/>
      <c r="I22" s="22"/>
      <c r="J22" s="22"/>
      <c r="K22" s="15">
        <f>+I22+G22+E22+C22</f>
        <v>1363.3200000000002</v>
      </c>
      <c r="L22" s="15">
        <f>((C22+I22)*14)+((E22+G22)*12)+120</f>
        <v>19061.22</v>
      </c>
      <c r="M22" s="22"/>
      <c r="N22" s="22">
        <v>15</v>
      </c>
      <c r="O22" s="22">
        <v>2.02</v>
      </c>
      <c r="P22" s="22">
        <f>('SERVISECURITAS 2009'!O22*0.8/100)+'SERVISECURITAS 2009'!O22</f>
        <v>0.22486464</v>
      </c>
      <c r="Q22" s="22">
        <f>'SERVISECURITAS 2009'!P22*0.8/100+'SERVISECURITAS 2009'!P22</f>
        <v>0.252</v>
      </c>
      <c r="R22" s="22">
        <f>('SERVISECURITAS 2009'!Q22*0.8/100)+'SERVISECURITAS 2009'!Q22</f>
        <v>8.0542425600000005</v>
      </c>
      <c r="S22" s="22">
        <f>('SERVISECURITAS 2009'!R22*0.8/100)+'SERVISECURITAS 2009'!R22</f>
        <v>13.440772800000001</v>
      </c>
      <c r="T22" s="22">
        <f>('SERVISECURITAS 2009'!S22*0.8/100)+'SERVISECURITAS 2009'!S22</f>
        <v>26.89176672</v>
      </c>
      <c r="U22" s="22">
        <v>24.66</v>
      </c>
      <c r="V22" s="22">
        <f>('SERVISECURITAS 2009'!U22*0.8/100)+'SERVISECURITAS 2009'!U22</f>
        <v>118.96361567999999</v>
      </c>
      <c r="W22" s="22">
        <f>('SERVISECURITAS 2009'!V22*0.8/100)+'SERVISECURITAS 2009'!V22</f>
        <v>102.21120000000001</v>
      </c>
      <c r="X22" s="22">
        <f>C22*5/100</f>
        <v>64.534500000000008</v>
      </c>
      <c r="Y22" s="23">
        <f>X22/30</f>
        <v>2.1511500000000003</v>
      </c>
      <c r="Z22" s="22">
        <f>('SERVISECURITAS 2009'!Y22*0.8/100)+'SERVISECURITAS 2009'!Y22</f>
        <v>47.896168319999994</v>
      </c>
    </row>
    <row r="23" spans="1:26" ht="18" customHeight="1" x14ac:dyDescent="0.2">
      <c r="A23" s="44">
        <v>227</v>
      </c>
      <c r="B23" s="21" t="s">
        <v>30</v>
      </c>
      <c r="C23" s="22">
        <v>955.37</v>
      </c>
      <c r="D23" s="23">
        <f>C23/30</f>
        <v>31.845666666666666</v>
      </c>
      <c r="E23" s="22">
        <v>72.63</v>
      </c>
      <c r="F23" s="23">
        <f>E23/30</f>
        <v>2.4209999999999998</v>
      </c>
      <c r="G23" s="22"/>
      <c r="H23" s="24"/>
      <c r="I23" s="22"/>
      <c r="J23" s="22"/>
      <c r="K23" s="15">
        <f>+I23+G23+E23+C23</f>
        <v>1028</v>
      </c>
      <c r="L23" s="15">
        <f>((C23+I23)*14)+((E23+G23)*12)+120</f>
        <v>14366.74</v>
      </c>
      <c r="M23" s="22"/>
      <c r="N23" s="22">
        <v>11.12</v>
      </c>
      <c r="O23" s="22">
        <v>1.47</v>
      </c>
      <c r="P23" s="22">
        <f>('SERVISECURITAS 2009'!O23*0.8/100)+'SERVISECURITAS 2009'!O23</f>
        <v>0.22486464</v>
      </c>
      <c r="Q23" s="22">
        <f>'SERVISECURITAS 2009'!P23*0.8/100+'SERVISECURITAS 2009'!P23</f>
        <v>0.252</v>
      </c>
      <c r="R23" s="22">
        <f>('SERVISECURITAS 2009'!Q23*0.8/100)+'SERVISECURITAS 2009'!Q23</f>
        <v>8.0542425600000005</v>
      </c>
      <c r="S23" s="22">
        <f>('SERVISECURITAS 2009'!R23*0.8/100)+'SERVISECURITAS 2009'!R23</f>
        <v>13.440772800000001</v>
      </c>
      <c r="T23" s="22">
        <f>('SERVISECURITAS 2009'!S23*0.8/100)+'SERVISECURITAS 2009'!S23</f>
        <v>26.89176672</v>
      </c>
      <c r="U23" s="22">
        <v>24.66</v>
      </c>
      <c r="V23" s="22">
        <f>('SERVISECURITAS 2009'!U23*0.8/100)+'SERVISECURITAS 2009'!U23</f>
        <v>118.96361567999999</v>
      </c>
      <c r="W23" s="22">
        <f>('SERVISECURITAS 2009'!V23*0.8/100)+'SERVISECURITAS 2009'!V23</f>
        <v>102.21120000000001</v>
      </c>
      <c r="X23" s="22">
        <f>C23*5/100</f>
        <v>47.768500000000003</v>
      </c>
      <c r="Y23" s="23">
        <f>X23/30</f>
        <v>1.5922833333333335</v>
      </c>
      <c r="Z23" s="22">
        <f>('SERVISECURITAS 2009'!Y23*0.8/100)+'SERVISECURITAS 2009'!Y23</f>
        <v>47.896168319999994</v>
      </c>
    </row>
    <row r="24" spans="1:26" ht="18" customHeight="1" x14ac:dyDescent="0.2">
      <c r="A24" s="43"/>
      <c r="B24" s="27" t="s">
        <v>31</v>
      </c>
      <c r="C24" s="28"/>
      <c r="D24" s="29"/>
      <c r="E24" s="28"/>
      <c r="F24" s="29"/>
      <c r="G24" s="28"/>
      <c r="H24" s="29"/>
      <c r="I24" s="28"/>
      <c r="J24" s="28"/>
      <c r="K24" s="12"/>
      <c r="L24" s="28"/>
      <c r="M24" s="47"/>
      <c r="N24" s="18"/>
      <c r="O24" s="22"/>
      <c r="P24" s="22"/>
      <c r="Q24" s="22"/>
      <c r="R24" s="22"/>
      <c r="S24" s="22"/>
      <c r="T24" s="22"/>
      <c r="U24" s="22"/>
      <c r="V24" s="22"/>
      <c r="W24" s="28"/>
      <c r="X24" s="22"/>
      <c r="Y24" s="30"/>
      <c r="Z24" s="22"/>
    </row>
    <row r="25" spans="1:26" ht="18" customHeight="1" x14ac:dyDescent="0.2">
      <c r="A25" s="44" t="s">
        <v>52</v>
      </c>
      <c r="B25" s="21" t="s">
        <v>32</v>
      </c>
      <c r="C25" s="22">
        <v>641.4</v>
      </c>
      <c r="D25" s="23">
        <f t="shared" ref="D25:D32" si="12">C25/30</f>
        <v>21.38</v>
      </c>
      <c r="E25" s="22">
        <v>72.63</v>
      </c>
      <c r="F25" s="23">
        <f t="shared" ref="F25:F32" si="13">E25/30</f>
        <v>2.4209999999999998</v>
      </c>
      <c r="G25" s="22">
        <v>29.06</v>
      </c>
      <c r="H25" s="23">
        <f t="shared" ref="H25:H32" si="14">G25/30</f>
        <v>0.96866666666666668</v>
      </c>
      <c r="I25" s="22"/>
      <c r="J25" s="22"/>
      <c r="K25" s="15">
        <f t="shared" ref="K25:K31" si="15">+I25+G25+E25+C25</f>
        <v>743.08999999999992</v>
      </c>
      <c r="L25" s="15">
        <f t="shared" ref="L25:L32" si="16">((C25+I25)*14)+((E25+G25)*12)+120</f>
        <v>10319.880000000001</v>
      </c>
      <c r="M25" s="22"/>
      <c r="N25" s="22">
        <v>6.7</v>
      </c>
      <c r="O25" s="22">
        <v>0.96</v>
      </c>
      <c r="P25" s="22">
        <v>0.22</v>
      </c>
      <c r="Q25" s="22">
        <f>'SERVISECURITAS 2009'!P25*0.8/100+'SERVISECURITAS 2009'!P25</f>
        <v>0.252</v>
      </c>
      <c r="R25" s="22">
        <f>('SERVISECURITAS 2009'!Q25*0.8/100)+'SERVISECURITAS 2009'!Q25</f>
        <v>8.0542425600000005</v>
      </c>
      <c r="S25" s="22">
        <f>('SERVISECURITAS 2009'!R25*0.8/100)+'SERVISECURITAS 2009'!R25</f>
        <v>13.440772800000001</v>
      </c>
      <c r="T25" s="22">
        <f>('SERVISECURITAS 2009'!S25*0.8/100)+'SERVISECURITAS 2009'!S25</f>
        <v>26.89176672</v>
      </c>
      <c r="U25" s="22">
        <v>24.66</v>
      </c>
      <c r="V25" s="22">
        <f>('SERVISECURITAS 2009'!U25*0.8/100)+'SERVISECURITAS 2009'!U25</f>
        <v>118.96361567999999</v>
      </c>
      <c r="W25" s="22">
        <f>('SERVISECURITAS 2009'!V25*0.8/100)+'SERVISECURITAS 2009'!V25</f>
        <v>102.21120000000001</v>
      </c>
      <c r="X25" s="22">
        <f t="shared" ref="X25:X32" si="17">C25*5/100</f>
        <v>32.07</v>
      </c>
      <c r="Y25" s="23">
        <f t="shared" ref="Y25:Y32" si="18">X25/30</f>
        <v>1.069</v>
      </c>
      <c r="Z25" s="22">
        <f>('SERVISECURITAS 2009'!Y25*0.8/100)+'SERVISECURITAS 2009'!Y25</f>
        <v>47.896168319999994</v>
      </c>
    </row>
    <row r="26" spans="1:26" ht="18" customHeight="1" x14ac:dyDescent="0.2">
      <c r="A26" s="44">
        <v>205</v>
      </c>
      <c r="B26" s="21" t="s">
        <v>33</v>
      </c>
      <c r="C26" s="22">
        <v>641.4</v>
      </c>
      <c r="D26" s="23">
        <f t="shared" si="12"/>
        <v>21.38</v>
      </c>
      <c r="E26" s="22">
        <v>72.63</v>
      </c>
      <c r="F26" s="23">
        <f t="shared" si="13"/>
        <v>2.4209999999999998</v>
      </c>
      <c r="G26" s="22">
        <v>29.06</v>
      </c>
      <c r="H26" s="23">
        <f t="shared" si="14"/>
        <v>0.96866666666666668</v>
      </c>
      <c r="I26" s="22"/>
      <c r="J26" s="22"/>
      <c r="K26" s="15">
        <f t="shared" si="15"/>
        <v>743.08999999999992</v>
      </c>
      <c r="L26" s="15">
        <f t="shared" si="16"/>
        <v>10319.880000000001</v>
      </c>
      <c r="M26" s="22"/>
      <c r="N26" s="22">
        <v>6.7</v>
      </c>
      <c r="O26" s="22">
        <v>0.96</v>
      </c>
      <c r="P26" s="22">
        <f>('SERVISECURITAS 2009'!O26*0.8/100)+'SERVISECURITAS 2009'!O26</f>
        <v>0.22486464</v>
      </c>
      <c r="Q26" s="22">
        <f>'SERVISECURITAS 2009'!P26*0.8/100+'SERVISECURITAS 2009'!P26</f>
        <v>0.252</v>
      </c>
      <c r="R26" s="22">
        <f>('SERVISECURITAS 2009'!Q26*0.8/100)+'SERVISECURITAS 2009'!Q26</f>
        <v>8.0542425600000005</v>
      </c>
      <c r="S26" s="22">
        <f>('SERVISECURITAS 2009'!R26*0.8/100)+'SERVISECURITAS 2009'!R26</f>
        <v>13.440772800000001</v>
      </c>
      <c r="T26" s="22">
        <f>('SERVISECURITAS 2009'!S26*0.8/100)+'SERVISECURITAS 2009'!S26</f>
        <v>26.89176672</v>
      </c>
      <c r="U26" s="22">
        <v>24.66</v>
      </c>
      <c r="V26" s="22">
        <f>('SERVISECURITAS 2009'!U26*0.8/100)+'SERVISECURITAS 2009'!U26</f>
        <v>118.96361567999999</v>
      </c>
      <c r="W26" s="22">
        <f>('SERVISECURITAS 2009'!V26*0.8/100)+'SERVISECURITAS 2009'!V26</f>
        <v>102.21120000000001</v>
      </c>
      <c r="X26" s="22">
        <f t="shared" si="17"/>
        <v>32.07</v>
      </c>
      <c r="Y26" s="23">
        <f t="shared" si="18"/>
        <v>1.069</v>
      </c>
      <c r="Z26" s="22">
        <f>('SERVISECURITAS 2009'!Y26*0.8/100)+'SERVISECURITAS 2009'!Y26</f>
        <v>47.896168319999994</v>
      </c>
    </row>
    <row r="27" spans="1:26" ht="18" customHeight="1" x14ac:dyDescent="0.2">
      <c r="A27" s="44">
        <v>44</v>
      </c>
      <c r="B27" s="21" t="s">
        <v>34</v>
      </c>
      <c r="C27" s="22">
        <v>641.4</v>
      </c>
      <c r="D27" s="23">
        <f t="shared" si="12"/>
        <v>21.38</v>
      </c>
      <c r="E27" s="22">
        <v>72.63</v>
      </c>
      <c r="F27" s="23">
        <f t="shared" si="13"/>
        <v>2.4209999999999998</v>
      </c>
      <c r="G27" s="22">
        <v>29.06</v>
      </c>
      <c r="H27" s="23">
        <f t="shared" si="14"/>
        <v>0.96866666666666668</v>
      </c>
      <c r="I27" s="22"/>
      <c r="J27" s="22"/>
      <c r="K27" s="15">
        <f t="shared" si="15"/>
        <v>743.08999999999992</v>
      </c>
      <c r="L27" s="15">
        <f t="shared" si="16"/>
        <v>10319.880000000001</v>
      </c>
      <c r="M27" s="22"/>
      <c r="N27" s="22">
        <v>6.7</v>
      </c>
      <c r="O27" s="22">
        <v>0.96</v>
      </c>
      <c r="P27" s="22">
        <f>('SERVISECURITAS 2009'!O27*0.8/100)+'SERVISECURITAS 2009'!O27</f>
        <v>0.22486464</v>
      </c>
      <c r="Q27" s="22">
        <f>'SERVISECURITAS 2009'!P27*0.8/100+'SERVISECURITAS 2009'!P27</f>
        <v>0.252</v>
      </c>
      <c r="R27" s="22">
        <f>('SERVISECURITAS 2009'!Q27*0.8/100)+'SERVISECURITAS 2009'!Q27</f>
        <v>8.0542425600000005</v>
      </c>
      <c r="S27" s="22">
        <f>('SERVISECURITAS 2009'!R27*0.8/100)+'SERVISECURITAS 2009'!R27</f>
        <v>13.440772800000001</v>
      </c>
      <c r="T27" s="22">
        <f>('SERVISECURITAS 2009'!S27*0.8/100)+'SERVISECURITAS 2009'!S27</f>
        <v>26.89176672</v>
      </c>
      <c r="U27" s="22">
        <v>24.66</v>
      </c>
      <c r="V27" s="22">
        <f>('SERVISECURITAS 2009'!U27*0.8/100)+'SERVISECURITAS 2009'!U27</f>
        <v>118.96361567999999</v>
      </c>
      <c r="W27" s="22">
        <f>('SERVISECURITAS 2009'!V27*0.8/100)+'SERVISECURITAS 2009'!V27</f>
        <v>102.21120000000001</v>
      </c>
      <c r="X27" s="22">
        <f t="shared" si="17"/>
        <v>32.07</v>
      </c>
      <c r="Y27" s="23">
        <f t="shared" si="18"/>
        <v>1.069</v>
      </c>
      <c r="Z27" s="22">
        <f>('SERVISECURITAS 2009'!Y27*0.8/100)+'SERVISECURITAS 2009'!Y27</f>
        <v>47.896168319999994</v>
      </c>
    </row>
    <row r="28" spans="1:26" ht="18" customHeight="1" x14ac:dyDescent="0.2">
      <c r="A28" s="44">
        <v>48</v>
      </c>
      <c r="B28" s="21" t="s">
        <v>35</v>
      </c>
      <c r="C28" s="22">
        <v>641.4</v>
      </c>
      <c r="D28" s="23">
        <f t="shared" si="12"/>
        <v>21.38</v>
      </c>
      <c r="E28" s="22">
        <v>72.63</v>
      </c>
      <c r="F28" s="23">
        <f t="shared" si="13"/>
        <v>2.4209999999999998</v>
      </c>
      <c r="G28" s="22">
        <v>29.06</v>
      </c>
      <c r="H28" s="23">
        <f t="shared" si="14"/>
        <v>0.96866666666666668</v>
      </c>
      <c r="I28" s="22"/>
      <c r="J28" s="22"/>
      <c r="K28" s="15">
        <f t="shared" si="15"/>
        <v>743.08999999999992</v>
      </c>
      <c r="L28" s="15">
        <f t="shared" si="16"/>
        <v>10319.880000000001</v>
      </c>
      <c r="M28" s="22"/>
      <c r="N28" s="22">
        <v>6.7</v>
      </c>
      <c r="O28" s="22">
        <v>0.96</v>
      </c>
      <c r="P28" s="22">
        <f>('SERVISECURITAS 2009'!O28*0.8/100)+'SERVISECURITAS 2009'!O28</f>
        <v>0.22486464</v>
      </c>
      <c r="Q28" s="22">
        <f>'SERVISECURITAS 2009'!P28*0.8/100+'SERVISECURITAS 2009'!P28</f>
        <v>0.252</v>
      </c>
      <c r="R28" s="22">
        <f>('SERVISECURITAS 2009'!Q28*0.8/100)+'SERVISECURITAS 2009'!Q28</f>
        <v>8.0542425600000005</v>
      </c>
      <c r="S28" s="22">
        <f>('SERVISECURITAS 2009'!R28*0.8/100)+'SERVISECURITAS 2009'!R28</f>
        <v>13.440772800000001</v>
      </c>
      <c r="T28" s="22">
        <f>('SERVISECURITAS 2009'!S28*0.8/100)+'SERVISECURITAS 2009'!S28</f>
        <v>26.89176672</v>
      </c>
      <c r="U28" s="22">
        <v>24.66</v>
      </c>
      <c r="V28" s="22">
        <f>('SERVISECURITAS 2009'!U28*0.8/100)+'SERVISECURITAS 2009'!U28</f>
        <v>118.96361567999999</v>
      </c>
      <c r="W28" s="22">
        <f>('SERVISECURITAS 2009'!V28*0.8/100)+'SERVISECURITAS 2009'!V28</f>
        <v>102.21120000000001</v>
      </c>
      <c r="X28" s="22">
        <f t="shared" si="17"/>
        <v>32.07</v>
      </c>
      <c r="Y28" s="23">
        <f t="shared" si="18"/>
        <v>1.069</v>
      </c>
      <c r="Z28" s="22">
        <f>('SERVISECURITAS 2009'!Y28*0.8/100)+'SERVISECURITAS 2009'!Y28</f>
        <v>47.896168319999994</v>
      </c>
    </row>
    <row r="29" spans="1:26" ht="18" customHeight="1" x14ac:dyDescent="0.2">
      <c r="A29" s="44" t="s">
        <v>53</v>
      </c>
      <c r="B29" s="21" t="s">
        <v>36</v>
      </c>
      <c r="C29" s="22">
        <v>641.4</v>
      </c>
      <c r="D29" s="23">
        <f t="shared" si="12"/>
        <v>21.38</v>
      </c>
      <c r="E29" s="22">
        <v>72.63</v>
      </c>
      <c r="F29" s="23">
        <f t="shared" si="13"/>
        <v>2.4209999999999998</v>
      </c>
      <c r="G29" s="22">
        <v>29.06</v>
      </c>
      <c r="H29" s="23">
        <f t="shared" si="14"/>
        <v>0.96866666666666668</v>
      </c>
      <c r="I29" s="22"/>
      <c r="J29" s="22"/>
      <c r="K29" s="15">
        <f t="shared" si="15"/>
        <v>743.08999999999992</v>
      </c>
      <c r="L29" s="15">
        <f t="shared" si="16"/>
        <v>10319.880000000001</v>
      </c>
      <c r="M29" s="22"/>
      <c r="N29" s="22">
        <v>6.7</v>
      </c>
      <c r="O29" s="22">
        <v>0.96</v>
      </c>
      <c r="P29" s="22">
        <f>('SERVISECURITAS 2009'!O29*0.8/100)+'SERVISECURITAS 2009'!O29</f>
        <v>0.22486464</v>
      </c>
      <c r="Q29" s="22">
        <f>'SERVISECURITAS 2009'!P29*0.8/100+'SERVISECURITAS 2009'!P29</f>
        <v>0.252</v>
      </c>
      <c r="R29" s="22">
        <f>('SERVISECURITAS 2009'!Q29*0.8/100)+'SERVISECURITAS 2009'!Q29</f>
        <v>8.0542425600000005</v>
      </c>
      <c r="S29" s="22">
        <f>('SERVISECURITAS 2009'!R29*0.8/100)+'SERVISECURITAS 2009'!R29</f>
        <v>13.440772800000001</v>
      </c>
      <c r="T29" s="22">
        <f>('SERVISECURITAS 2009'!S29*0.8/100)+'SERVISECURITAS 2009'!S29</f>
        <v>26.89176672</v>
      </c>
      <c r="U29" s="22">
        <v>24.66</v>
      </c>
      <c r="V29" s="22">
        <f>('SERVISECURITAS 2009'!U29*0.8/100)+'SERVISECURITAS 2009'!U29</f>
        <v>118.96361567999999</v>
      </c>
      <c r="W29" s="22">
        <f>('SERVISECURITAS 2009'!V29*0.8/100)+'SERVISECURITAS 2009'!V29</f>
        <v>102.21120000000001</v>
      </c>
      <c r="X29" s="22">
        <f t="shared" si="17"/>
        <v>32.07</v>
      </c>
      <c r="Y29" s="23">
        <f t="shared" si="18"/>
        <v>1.069</v>
      </c>
      <c r="Z29" s="22">
        <f>('SERVISECURITAS 2009'!Y29*0.8/100)+'SERVISECURITAS 2009'!Y29</f>
        <v>47.896168319999994</v>
      </c>
    </row>
    <row r="30" spans="1:26" ht="18" customHeight="1" x14ac:dyDescent="0.2">
      <c r="A30" s="44">
        <v>60</v>
      </c>
      <c r="B30" s="21" t="s">
        <v>50</v>
      </c>
      <c r="C30" s="22">
        <v>641.4</v>
      </c>
      <c r="D30" s="23">
        <f t="shared" si="12"/>
        <v>21.38</v>
      </c>
      <c r="E30" s="22">
        <v>72.63</v>
      </c>
      <c r="F30" s="23">
        <f t="shared" si="13"/>
        <v>2.4209999999999998</v>
      </c>
      <c r="G30" s="22">
        <v>29.06</v>
      </c>
      <c r="H30" s="23">
        <f t="shared" si="14"/>
        <v>0.96866666666666668</v>
      </c>
      <c r="I30" s="22"/>
      <c r="J30" s="22"/>
      <c r="K30" s="15">
        <f t="shared" si="15"/>
        <v>743.08999999999992</v>
      </c>
      <c r="L30" s="15">
        <f t="shared" si="16"/>
        <v>10319.880000000001</v>
      </c>
      <c r="M30" s="22"/>
      <c r="N30" s="22">
        <v>6.7</v>
      </c>
      <c r="O30" s="22">
        <v>0.96</v>
      </c>
      <c r="P30" s="22">
        <f>('SERVISECURITAS 2009'!O30*0.8/100)+'SERVISECURITAS 2009'!O30</f>
        <v>0.22486464</v>
      </c>
      <c r="Q30" s="22">
        <f>'SERVISECURITAS 2009'!P30*0.8/100+'SERVISECURITAS 2009'!P30</f>
        <v>0.252</v>
      </c>
      <c r="R30" s="22">
        <f>('SERVISECURITAS 2009'!Q30*0.8/100)+'SERVISECURITAS 2009'!Q30</f>
        <v>8.0542425600000005</v>
      </c>
      <c r="S30" s="22">
        <f>('SERVISECURITAS 2009'!R30*0.8/100)+'SERVISECURITAS 2009'!R30</f>
        <v>13.440772800000001</v>
      </c>
      <c r="T30" s="22">
        <f>('SERVISECURITAS 2009'!S30*0.8/100)+'SERVISECURITAS 2009'!S30</f>
        <v>26.89176672</v>
      </c>
      <c r="U30" s="22">
        <v>24.66</v>
      </c>
      <c r="V30" s="22">
        <f>('SERVISECURITAS 2009'!U30*0.8/100)+'SERVISECURITAS 2009'!U30</f>
        <v>118.96361567999999</v>
      </c>
      <c r="W30" s="22">
        <f>('SERVISECURITAS 2009'!V30*0.8/100)+'SERVISECURITAS 2009'!V30</f>
        <v>102.21120000000001</v>
      </c>
      <c r="X30" s="22">
        <f t="shared" si="17"/>
        <v>32.07</v>
      </c>
      <c r="Y30" s="23">
        <f t="shared" si="18"/>
        <v>1.069</v>
      </c>
      <c r="Z30" s="22">
        <f>('SERVISECURITAS 2009'!Y30*0.8/100)+'SERVISECURITAS 2009'!Y30</f>
        <v>47.896168319999994</v>
      </c>
    </row>
    <row r="31" spans="1:26" ht="18" customHeight="1" x14ac:dyDescent="0.2">
      <c r="A31" s="44">
        <v>61</v>
      </c>
      <c r="B31" s="21" t="s">
        <v>51</v>
      </c>
      <c r="C31" s="22">
        <v>641.4</v>
      </c>
      <c r="D31" s="23">
        <f t="shared" si="12"/>
        <v>21.38</v>
      </c>
      <c r="E31" s="22">
        <v>72.63</v>
      </c>
      <c r="F31" s="23">
        <f t="shared" si="13"/>
        <v>2.4209999999999998</v>
      </c>
      <c r="G31" s="22">
        <v>29.06</v>
      </c>
      <c r="H31" s="23">
        <f t="shared" si="14"/>
        <v>0.96866666666666668</v>
      </c>
      <c r="I31" s="22"/>
      <c r="J31" s="22"/>
      <c r="K31" s="15">
        <f t="shared" si="15"/>
        <v>743.08999999999992</v>
      </c>
      <c r="L31" s="15">
        <f t="shared" si="16"/>
        <v>10319.880000000001</v>
      </c>
      <c r="M31" s="22"/>
      <c r="N31" s="22">
        <v>6.7</v>
      </c>
      <c r="O31" s="22">
        <v>0.96</v>
      </c>
      <c r="P31" s="22">
        <f>('SERVISECURITAS 2009'!O31*0.8/100)+'SERVISECURITAS 2009'!O31</f>
        <v>0.22486464</v>
      </c>
      <c r="Q31" s="22">
        <f>'SERVISECURITAS 2009'!P31*0.8/100+'SERVISECURITAS 2009'!P31</f>
        <v>0.252</v>
      </c>
      <c r="R31" s="22">
        <f>('SERVISECURITAS 2009'!Q31*0.8/100)+'SERVISECURITAS 2009'!Q31</f>
        <v>8.0542425600000005</v>
      </c>
      <c r="S31" s="22">
        <f>('SERVISECURITAS 2009'!R31*0.8/100)+'SERVISECURITAS 2009'!R31</f>
        <v>13.440772800000001</v>
      </c>
      <c r="T31" s="22">
        <f>('SERVISECURITAS 2009'!S31*0.8/100)+'SERVISECURITAS 2009'!S31</f>
        <v>26.89176672</v>
      </c>
      <c r="U31" s="22">
        <v>24.66</v>
      </c>
      <c r="V31" s="22">
        <f>('SERVISECURITAS 2009'!U31*0.8/100)+'SERVISECURITAS 2009'!U31</f>
        <v>118.96361567999999</v>
      </c>
      <c r="W31" s="22">
        <f>('SERVISECURITAS 2009'!V31*0.8/100)+'SERVISECURITAS 2009'!V31</f>
        <v>102.21120000000001</v>
      </c>
      <c r="X31" s="22">
        <f t="shared" si="17"/>
        <v>32.07</v>
      </c>
      <c r="Y31" s="23">
        <f t="shared" si="18"/>
        <v>1.069</v>
      </c>
      <c r="Z31" s="22">
        <f>('SERVISECURITAS 2009'!Y31*0.8/100)+'SERVISECURITAS 2009'!Y31</f>
        <v>47.896168319999994</v>
      </c>
    </row>
    <row r="32" spans="1:26" ht="18" customHeight="1" x14ac:dyDescent="0.2">
      <c r="A32" s="44">
        <v>46</v>
      </c>
      <c r="B32" s="21" t="s">
        <v>37</v>
      </c>
      <c r="C32" s="22">
        <v>680.41</v>
      </c>
      <c r="D32" s="23">
        <f t="shared" si="12"/>
        <v>22.680333333333333</v>
      </c>
      <c r="E32" s="22">
        <v>72.63</v>
      </c>
      <c r="F32" s="23">
        <f t="shared" si="13"/>
        <v>2.4209999999999998</v>
      </c>
      <c r="G32" s="22">
        <v>29.06</v>
      </c>
      <c r="H32" s="23">
        <f t="shared" si="14"/>
        <v>0.96866666666666668</v>
      </c>
      <c r="I32" s="22">
        <v>78.319999999999993</v>
      </c>
      <c r="J32" s="23">
        <f>I32/30</f>
        <v>2.6106666666666665</v>
      </c>
      <c r="K32" s="15">
        <f>+I32+G32+E32+C32</f>
        <v>860.42</v>
      </c>
      <c r="L32" s="15">
        <f t="shared" si="16"/>
        <v>11962.500000000002</v>
      </c>
      <c r="M32" s="22"/>
      <c r="N32" s="22">
        <v>7.75</v>
      </c>
      <c r="O32" s="22">
        <v>1.03</v>
      </c>
      <c r="P32" s="22">
        <f>('SERVISECURITAS 2009'!O32*0.8/100)+'SERVISECURITAS 2009'!O32</f>
        <v>0.22486464</v>
      </c>
      <c r="Q32" s="22">
        <f>'SERVISECURITAS 2009'!P32*0.8/100+'SERVISECURITAS 2009'!P32</f>
        <v>0.252</v>
      </c>
      <c r="R32" s="22">
        <f>('SERVISECURITAS 2009'!Q32*0.8/100)+'SERVISECURITAS 2009'!Q32</f>
        <v>8.0542425600000005</v>
      </c>
      <c r="S32" s="22">
        <f>('SERVISECURITAS 2009'!R32*0.8/100)+'SERVISECURITAS 2009'!R32</f>
        <v>13.440772800000001</v>
      </c>
      <c r="T32" s="22">
        <f>('SERVISECURITAS 2009'!S32*0.8/100)+'SERVISECURITAS 2009'!S32</f>
        <v>26.89176672</v>
      </c>
      <c r="U32" s="22">
        <v>24.66</v>
      </c>
      <c r="V32" s="22">
        <f>('SERVISECURITAS 2009'!U32*0.8/100)+'SERVISECURITAS 2009'!U32</f>
        <v>118.96361567999999</v>
      </c>
      <c r="W32" s="22">
        <f>('SERVISECURITAS 2009'!V32*0.8/100)+'SERVISECURITAS 2009'!V32</f>
        <v>102.21120000000001</v>
      </c>
      <c r="X32" s="22">
        <f t="shared" si="17"/>
        <v>34.020499999999998</v>
      </c>
      <c r="Y32" s="23">
        <f t="shared" si="18"/>
        <v>1.1340166666666667</v>
      </c>
      <c r="Z32" s="22">
        <f>('SERVISECURITAS 2009'!Y32*0.8/100)+'SERVISECURITAS 2009'!Y32</f>
        <v>47.896168319999994</v>
      </c>
    </row>
    <row r="33" spans="1:26" ht="18" customHeight="1" x14ac:dyDescent="0.2">
      <c r="A33" s="43"/>
      <c r="B33" s="27" t="s">
        <v>38</v>
      </c>
      <c r="C33" s="28"/>
      <c r="D33" s="29"/>
      <c r="E33" s="28"/>
      <c r="F33" s="29"/>
      <c r="G33" s="28"/>
      <c r="H33" s="29"/>
      <c r="I33" s="28"/>
      <c r="J33" s="28"/>
      <c r="K33" s="45"/>
      <c r="L33" s="28"/>
      <c r="M33" s="47"/>
      <c r="N33" s="18"/>
      <c r="O33" s="22"/>
      <c r="P33" s="22"/>
      <c r="Q33" s="22"/>
      <c r="R33" s="22"/>
      <c r="S33" s="22"/>
      <c r="T33" s="22"/>
      <c r="U33" s="22"/>
      <c r="V33" s="22"/>
      <c r="W33" s="28"/>
      <c r="X33" s="22"/>
      <c r="Y33" s="30"/>
      <c r="Z33" s="22"/>
    </row>
    <row r="34" spans="1:26" ht="18" customHeight="1" x14ac:dyDescent="0.2">
      <c r="A34" s="44">
        <v>51</v>
      </c>
      <c r="B34" s="21" t="s">
        <v>39</v>
      </c>
      <c r="C34" s="22">
        <v>646.41</v>
      </c>
      <c r="D34" s="23">
        <f>C34/30</f>
        <v>21.547000000000001</v>
      </c>
      <c r="E34" s="22">
        <v>72.63</v>
      </c>
      <c r="F34" s="23">
        <f>E34/30</f>
        <v>2.4209999999999998</v>
      </c>
      <c r="G34" s="22"/>
      <c r="H34" s="24"/>
      <c r="I34" s="22"/>
      <c r="J34" s="22"/>
      <c r="K34" s="15">
        <f>+I34+G34+E34+C34</f>
        <v>719.04</v>
      </c>
      <c r="L34" s="15">
        <f>((C34+I34)*14)+((E34+G34)*12)+120</f>
        <v>10041.299999999999</v>
      </c>
      <c r="M34" s="22"/>
      <c r="N34" s="22">
        <v>6.7</v>
      </c>
      <c r="O34" s="22">
        <v>0.99</v>
      </c>
      <c r="P34" s="22">
        <f>('SERVISECURITAS 2009'!O34*0.8/100)+'SERVISECURITAS 2009'!O34</f>
        <v>0.22486464</v>
      </c>
      <c r="Q34" s="22">
        <f>'SERVISECURITAS 2009'!P34*0.8/100+'SERVISECURITAS 2009'!P34</f>
        <v>0.252</v>
      </c>
      <c r="R34" s="22">
        <f>('SERVISECURITAS 2009'!Q34*0.8/100)+'SERVISECURITAS 2009'!Q34</f>
        <v>8.0542425600000005</v>
      </c>
      <c r="S34" s="22">
        <f>('SERVISECURITAS 2009'!R34*0.8/100)+'SERVISECURITAS 2009'!R34</f>
        <v>13.440772800000001</v>
      </c>
      <c r="T34" s="22">
        <f>('SERVISECURITAS 2009'!S34*0.8/100)+'SERVISECURITAS 2009'!S34</f>
        <v>26.89176672</v>
      </c>
      <c r="U34" s="22">
        <v>24.66</v>
      </c>
      <c r="V34" s="22">
        <f>('SERVISECURITAS 2009'!U34*0.8/100)+'SERVISECURITAS 2009'!U34</f>
        <v>118.96361567999999</v>
      </c>
      <c r="W34" s="22">
        <f>('SERVISECURITAS 2009'!V34*0.8/100)+'SERVISECURITAS 2009'!V34</f>
        <v>102.21120000000001</v>
      </c>
      <c r="X34" s="22">
        <f>C34*5/100</f>
        <v>32.320499999999996</v>
      </c>
      <c r="Y34" s="23">
        <f>X34/30</f>
        <v>1.0773499999999998</v>
      </c>
      <c r="Z34" s="22">
        <f>('SERVISECURITAS 2009'!Y34*0.8/100)+'SERVISECURITAS 2009'!Y34</f>
        <v>47.896168319999994</v>
      </c>
    </row>
    <row r="35" spans="1:26" ht="18" customHeight="1" x14ac:dyDescent="0.2">
      <c r="A35" s="44">
        <v>903</v>
      </c>
      <c r="B35" s="21" t="s">
        <v>40</v>
      </c>
      <c r="C35" s="22">
        <v>641.4</v>
      </c>
      <c r="D35" s="23">
        <f>C35/30</f>
        <v>21.38</v>
      </c>
      <c r="E35" s="22">
        <v>72.63</v>
      </c>
      <c r="F35" s="23">
        <f>E35/30</f>
        <v>2.4209999999999998</v>
      </c>
      <c r="G35" s="22"/>
      <c r="H35" s="24"/>
      <c r="I35" s="22"/>
      <c r="J35" s="22"/>
      <c r="K35" s="15">
        <f>+I35+G35+E35+C35</f>
        <v>714.03</v>
      </c>
      <c r="L35" s="15">
        <f>((C35+I35)*14)+((E35+G35)*12)+120</f>
        <v>9971.16</v>
      </c>
      <c r="M35" s="22"/>
      <c r="N35" s="22">
        <v>6.7</v>
      </c>
      <c r="O35" s="22">
        <v>0.94</v>
      </c>
      <c r="P35" s="22">
        <f>('SERVISECURITAS 2009'!O35*0.8/100)+'SERVISECURITAS 2009'!O35</f>
        <v>0.22486464</v>
      </c>
      <c r="Q35" s="22">
        <f>'SERVISECURITAS 2009'!P35*0.8/100+'SERVISECURITAS 2009'!P35</f>
        <v>0.252</v>
      </c>
      <c r="R35" s="22">
        <f>('SERVISECURITAS 2009'!Q35*0.8/100)+'SERVISECURITAS 2009'!Q35</f>
        <v>8.0542425600000005</v>
      </c>
      <c r="S35" s="22">
        <f>('SERVISECURITAS 2009'!R35*0.8/100)+'SERVISECURITAS 2009'!R35</f>
        <v>13.440772800000001</v>
      </c>
      <c r="T35" s="22">
        <f>('SERVISECURITAS 2009'!S35*0.8/100)+'SERVISECURITAS 2009'!S35</f>
        <v>26.89176672</v>
      </c>
      <c r="U35" s="22">
        <v>24.66</v>
      </c>
      <c r="V35" s="22">
        <f>('SERVISECURITAS 2009'!U35*0.8/100)+'SERVISECURITAS 2009'!U35</f>
        <v>118.96361567999999</v>
      </c>
      <c r="W35" s="22">
        <f>('SERVISECURITAS 2009'!V35*0.8/100)+'SERVISECURITAS 2009'!V35</f>
        <v>102.21120000000001</v>
      </c>
      <c r="X35" s="22">
        <f>C35*5/100</f>
        <v>32.07</v>
      </c>
      <c r="Y35" s="23">
        <f>X35/30</f>
        <v>1.069</v>
      </c>
      <c r="Z35" s="22">
        <f>('SERVISECURITAS 2009'!Y35*0.8/100)+'SERVISECURITAS 2009'!Y35</f>
        <v>47.896168319999994</v>
      </c>
    </row>
    <row r="37" spans="1:26" ht="8.25" customHeight="1" x14ac:dyDescent="0.2"/>
    <row r="38" spans="1:26" ht="23.25" customHeight="1" x14ac:dyDescent="0.2">
      <c r="B38" s="40" t="s">
        <v>61</v>
      </c>
    </row>
    <row r="39" spans="1:26" ht="15" customHeight="1" x14ac:dyDescent="0.2"/>
    <row r="40" spans="1:26" ht="15" customHeight="1" x14ac:dyDescent="0.2"/>
    <row r="41" spans="1:26" ht="15" customHeight="1" x14ac:dyDescent="0.2"/>
    <row r="42" spans="1:26" ht="15" customHeight="1" x14ac:dyDescent="0.2"/>
    <row r="44" spans="1:26" ht="21" customHeight="1" x14ac:dyDescent="0.2"/>
  </sheetData>
  <sheetProtection password="CC0B" sheet="1" objects="1" scenarios="1" selectLockedCells="1" selectUnlockedCells="1"/>
  <printOptions horizontalCentered="1"/>
  <pageMargins left="0.19685039370078741" right="0.19685039370078741" top="0.94488188976377963" bottom="0.15748031496062992" header="0.43307086614173229" footer="0"/>
  <pageSetup paperSize="9" scale="74" orientation="landscape" r:id="rId1"/>
  <headerFooter alignWithMargins="0">
    <oddHeader xml:space="preserve">&amp;C&amp;"Times New Roman,Negrita"&amp;14&amp;ETABLA SALARIAL CONVENIO SERVICIOS SECURITAS, S.A.  (2011-2012)&amp;10
</oddHeader>
  </headerFooter>
  <colBreaks count="1" manualBreakCount="1">
    <brk id="2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47"/>
  <sheetViews>
    <sheetView zoomScale="110" zoomScaleNormal="110" workbookViewId="0">
      <pane xSplit="2" ySplit="1" topLeftCell="C17" activePane="bottomRight" state="frozen"/>
      <selection pane="topRight" activeCell="C1" sqref="C1"/>
      <selection pane="bottomLeft" activeCell="A2" sqref="A2"/>
      <selection pane="bottomRight" activeCell="A19" sqref="A19:L19"/>
    </sheetView>
  </sheetViews>
  <sheetFormatPr baseColWidth="10" defaultColWidth="10.140625" defaultRowHeight="12.75" x14ac:dyDescent="0.2"/>
  <cols>
    <col min="1" max="1" width="5.85546875" style="62" bestFit="1" customWidth="1"/>
    <col min="2" max="2" width="45.5703125" bestFit="1" customWidth="1"/>
    <col min="3" max="3" width="7.140625" bestFit="1" customWidth="1"/>
    <col min="4" max="4" width="6.85546875" hidden="1" customWidth="1"/>
    <col min="5" max="5" width="6.42578125" bestFit="1" customWidth="1"/>
    <col min="6" max="6" width="5.85546875" hidden="1" customWidth="1"/>
    <col min="7" max="7" width="5.5703125" bestFit="1" customWidth="1"/>
    <col min="8" max="8" width="6.140625" hidden="1" customWidth="1"/>
    <col min="9" max="9" width="5.5703125" bestFit="1" customWidth="1"/>
    <col min="10" max="10" width="6.140625" hidden="1" customWidth="1"/>
    <col min="11" max="11" width="7.140625" bestFit="1" customWidth="1"/>
    <col min="12" max="12" width="8.140625" bestFit="1" customWidth="1"/>
    <col min="13" max="13" width="0.5703125" customWidth="1"/>
    <col min="14" max="14" width="6.5703125" bestFit="1" customWidth="1"/>
    <col min="15" max="15" width="7" customWidth="1"/>
    <col min="16" max="16" width="7.85546875" style="56" bestFit="1" customWidth="1"/>
    <col min="17" max="17" width="6.85546875" style="56" customWidth="1"/>
    <col min="18" max="18" width="7" customWidth="1"/>
    <col min="19" max="19" width="7.140625" customWidth="1"/>
    <col min="20" max="20" width="9.140625" bestFit="1" customWidth="1"/>
    <col min="21" max="21" width="10.85546875" bestFit="1" customWidth="1"/>
    <col min="22" max="22" width="10" customWidth="1"/>
    <col min="23" max="23" width="7.140625" bestFit="1" customWidth="1"/>
    <col min="24" max="24" width="8.42578125" bestFit="1" customWidth="1"/>
    <col min="25" max="25" width="6.140625" hidden="1" customWidth="1"/>
    <col min="26" max="26" width="8.42578125" bestFit="1" customWidth="1"/>
    <col min="27" max="27" width="1.140625" customWidth="1"/>
    <col min="28" max="28" width="6.42578125" customWidth="1"/>
    <col min="29" max="29" width="27.85546875" customWidth="1"/>
    <col min="30" max="30" width="7.85546875" bestFit="1" customWidth="1"/>
    <col min="31" max="31" width="7.85546875" customWidth="1"/>
    <col min="32" max="32" width="8.85546875" bestFit="1" customWidth="1"/>
    <col min="33" max="33" width="6.85546875" bestFit="1" customWidth="1"/>
    <col min="34" max="34" width="10.5703125" customWidth="1"/>
    <col min="35" max="35" width="7.85546875" bestFit="1" customWidth="1"/>
    <col min="36" max="36" width="8" bestFit="1" customWidth="1"/>
    <col min="37" max="37" width="9" customWidth="1"/>
    <col min="38" max="38" width="8.140625" customWidth="1"/>
    <col min="39" max="39" width="9" customWidth="1"/>
  </cols>
  <sheetData>
    <row r="1" spans="1:26" s="40" customFormat="1" ht="39.75" customHeight="1" x14ac:dyDescent="0.2">
      <c r="A1" s="59" t="s">
        <v>0</v>
      </c>
      <c r="B1" s="49" t="s">
        <v>1</v>
      </c>
      <c r="C1" s="41" t="s">
        <v>2</v>
      </c>
      <c r="D1" s="50">
        <v>110021</v>
      </c>
      <c r="E1" s="41" t="s">
        <v>3</v>
      </c>
      <c r="F1" s="51">
        <v>15220</v>
      </c>
      <c r="G1" s="41" t="s">
        <v>4</v>
      </c>
      <c r="H1" s="51">
        <v>116220</v>
      </c>
      <c r="I1" s="41" t="s">
        <v>5</v>
      </c>
      <c r="J1" s="50">
        <v>117520</v>
      </c>
      <c r="K1" s="52" t="s">
        <v>62</v>
      </c>
      <c r="L1" s="52" t="s">
        <v>63</v>
      </c>
      <c r="M1" s="41"/>
      <c r="N1" s="57" t="s">
        <v>55</v>
      </c>
      <c r="O1" s="41" t="s">
        <v>56</v>
      </c>
      <c r="P1" s="41" t="s">
        <v>9</v>
      </c>
      <c r="Q1" s="41" t="s">
        <v>54</v>
      </c>
      <c r="R1" s="41" t="s">
        <v>41</v>
      </c>
      <c r="S1" s="41" t="s">
        <v>42</v>
      </c>
      <c r="T1" s="41" t="s">
        <v>43</v>
      </c>
      <c r="U1" s="41" t="s">
        <v>44</v>
      </c>
      <c r="V1" s="41" t="s">
        <v>10</v>
      </c>
      <c r="W1" s="41" t="s">
        <v>45</v>
      </c>
      <c r="X1" s="41" t="s">
        <v>11</v>
      </c>
      <c r="Y1" s="54">
        <v>110900</v>
      </c>
      <c r="Z1" s="55" t="s">
        <v>12</v>
      </c>
    </row>
    <row r="2" spans="1:26" ht="18" customHeight="1" x14ac:dyDescent="0.2">
      <c r="A2" s="60"/>
      <c r="B2" s="11" t="s">
        <v>13</v>
      </c>
      <c r="C2" s="12"/>
      <c r="D2" s="13"/>
      <c r="E2" s="12"/>
      <c r="F2" s="13"/>
      <c r="G2" s="12"/>
      <c r="H2" s="13"/>
      <c r="I2" s="12"/>
      <c r="J2" s="12"/>
      <c r="K2" s="12"/>
      <c r="L2" s="12"/>
      <c r="M2" s="22"/>
      <c r="N2" s="12"/>
      <c r="O2" s="12"/>
      <c r="P2" s="16"/>
      <c r="Q2" s="16"/>
      <c r="R2" s="16"/>
      <c r="S2" s="16"/>
      <c r="T2" s="16"/>
      <c r="U2" s="16"/>
      <c r="V2" s="16"/>
      <c r="W2" s="16"/>
      <c r="X2" s="17"/>
      <c r="Y2" s="18"/>
      <c r="Z2" s="19"/>
    </row>
    <row r="3" spans="1:26" ht="18" customHeight="1" x14ac:dyDescent="0.2">
      <c r="A3" s="61">
        <v>2102</v>
      </c>
      <c r="B3" s="21" t="s">
        <v>14</v>
      </c>
      <c r="C3" s="25">
        <v>1505.5</v>
      </c>
      <c r="D3" s="58">
        <f t="shared" ref="D3:D10" si="0">C3/30</f>
        <v>50.18333333333333</v>
      </c>
      <c r="E3" s="25">
        <v>69.38</v>
      </c>
      <c r="F3" s="23">
        <f t="shared" ref="F3:F10" si="1">E3/30</f>
        <v>2.3126666666666664</v>
      </c>
      <c r="G3" s="22"/>
      <c r="H3" s="24"/>
      <c r="I3" s="22"/>
      <c r="J3" s="22"/>
      <c r="K3" s="15">
        <f t="shared" ref="K3:K10" si="2">+I3+G3+E3+C3</f>
        <v>1574.88</v>
      </c>
      <c r="L3" s="15">
        <f>((C3+I3)*14)+((E3+G3)*12)+120</f>
        <v>22029.56</v>
      </c>
      <c r="M3" s="22"/>
      <c r="N3" s="46"/>
      <c r="O3" s="22"/>
      <c r="P3" s="22">
        <f>('SERVISECURITAS 2009'!O3*0.8/100)+'SERVISECURITAS 2009'!O3</f>
        <v>0.22486464</v>
      </c>
      <c r="Q3" s="22"/>
      <c r="R3" s="22">
        <f>('SERVISECURITAS 2009'!Q3*0.8/100)+'SERVISECURITAS 2009'!Q3</f>
        <v>8.0542425600000005</v>
      </c>
      <c r="S3" s="22">
        <f>('SERVISECURITAS 2009'!R3*0.8/100)+'SERVISECURITAS 2009'!R3</f>
        <v>13.440772800000001</v>
      </c>
      <c r="T3" s="22">
        <f>('SERVISECURITAS 2009'!S3*0.8/100)+'SERVISECURITAS 2009'!S3</f>
        <v>26.89176672</v>
      </c>
      <c r="U3" s="22">
        <v>24.66</v>
      </c>
      <c r="V3" s="22">
        <f>('SERVISECURITAS 2009'!U3*0.8/100)+'SERVISECURITAS 2009'!U3</f>
        <v>118.96361567999999</v>
      </c>
      <c r="W3" s="22">
        <f>('SERVISECURITAS 2009'!V3*0.8/100)+'SERVISECURITAS 2009'!V3</f>
        <v>102.21120000000001</v>
      </c>
      <c r="X3" s="22">
        <f>+C3*0.05</f>
        <v>75.275000000000006</v>
      </c>
      <c r="Y3" s="23">
        <f t="shared" ref="Y3:Y10" si="3">X3/30</f>
        <v>2.5091666666666668</v>
      </c>
      <c r="Z3" s="22">
        <f>('SERVISECURITAS 2009'!Y3*0.8/100)+'SERVISECURITAS 2009'!Y3</f>
        <v>47.896168319999994</v>
      </c>
    </row>
    <row r="4" spans="1:26" ht="18" customHeight="1" x14ac:dyDescent="0.2">
      <c r="A4" s="61">
        <v>2105</v>
      </c>
      <c r="B4" s="21" t="s">
        <v>15</v>
      </c>
      <c r="C4" s="25">
        <v>1431.06</v>
      </c>
      <c r="D4" s="58">
        <f t="shared" si="0"/>
        <v>47.701999999999998</v>
      </c>
      <c r="E4" s="25">
        <v>69.38</v>
      </c>
      <c r="F4" s="23">
        <f t="shared" si="1"/>
        <v>2.3126666666666664</v>
      </c>
      <c r="G4" s="22"/>
      <c r="H4" s="24"/>
      <c r="I4" s="22"/>
      <c r="J4" s="22"/>
      <c r="K4" s="15">
        <f t="shared" si="2"/>
        <v>1500.44</v>
      </c>
      <c r="L4" s="15">
        <f t="shared" ref="L4:L10" si="4">((C4+I4)*14)+((E4+G4)*12)+120</f>
        <v>20987.4</v>
      </c>
      <c r="M4" s="22"/>
      <c r="N4" s="46"/>
      <c r="O4" s="22"/>
      <c r="P4" s="22">
        <f>('SERVISECURITAS 2009'!O4*0.8/100)+'SERVISECURITAS 2009'!O4</f>
        <v>0.22486464</v>
      </c>
      <c r="Q4" s="22"/>
      <c r="R4" s="22">
        <f>('SERVISECURITAS 2009'!Q4*0.8/100)+'SERVISECURITAS 2009'!Q4</f>
        <v>8.0542425600000005</v>
      </c>
      <c r="S4" s="22">
        <f>('SERVISECURITAS 2009'!R4*0.8/100)+'SERVISECURITAS 2009'!R4</f>
        <v>13.440772800000001</v>
      </c>
      <c r="T4" s="22">
        <f>('SERVISECURITAS 2009'!S4*0.8/100)+'SERVISECURITAS 2009'!S4</f>
        <v>26.89176672</v>
      </c>
      <c r="U4" s="22">
        <v>24.66</v>
      </c>
      <c r="V4" s="22">
        <f>('SERVISECURITAS 2009'!U4*0.8/100)+'SERVISECURITAS 2009'!U4</f>
        <v>118.96361567999999</v>
      </c>
      <c r="W4" s="22">
        <f>('SERVISECURITAS 2009'!V4*0.8/100)+'SERVISECURITAS 2009'!V4</f>
        <v>102.21120000000001</v>
      </c>
      <c r="X4" s="22">
        <f t="shared" ref="X4:X10" si="5">+C4*0.05</f>
        <v>71.552999999999997</v>
      </c>
      <c r="Y4" s="23">
        <f t="shared" si="3"/>
        <v>2.3851</v>
      </c>
      <c r="Z4" s="22">
        <f>('SERVISECURITAS 2009'!Y4*0.8/100)+'SERVISECURITAS 2009'!Y4</f>
        <v>47.896168319999994</v>
      </c>
    </row>
    <row r="5" spans="1:26" ht="18" customHeight="1" x14ac:dyDescent="0.2">
      <c r="A5" s="61">
        <v>2109</v>
      </c>
      <c r="B5" s="21" t="s">
        <v>16</v>
      </c>
      <c r="C5" s="25">
        <v>1431.06</v>
      </c>
      <c r="D5" s="58">
        <f t="shared" si="0"/>
        <v>47.701999999999998</v>
      </c>
      <c r="E5" s="25">
        <v>69.38</v>
      </c>
      <c r="F5" s="23">
        <f t="shared" si="1"/>
        <v>2.3126666666666664</v>
      </c>
      <c r="G5" s="22"/>
      <c r="H5" s="24"/>
      <c r="I5" s="22"/>
      <c r="J5" s="22"/>
      <c r="K5" s="15">
        <f t="shared" si="2"/>
        <v>1500.44</v>
      </c>
      <c r="L5" s="15">
        <f t="shared" si="4"/>
        <v>20987.4</v>
      </c>
      <c r="M5" s="22"/>
      <c r="N5" s="46"/>
      <c r="O5" s="22"/>
      <c r="P5" s="22">
        <f>('SERVISECURITAS 2009'!O5*0.8/100)+'SERVISECURITAS 2009'!O5</f>
        <v>0.22486464</v>
      </c>
      <c r="Q5" s="22"/>
      <c r="R5" s="22">
        <f>('SERVISECURITAS 2009'!Q5*0.8/100)+'SERVISECURITAS 2009'!Q5</f>
        <v>8.0542425600000005</v>
      </c>
      <c r="S5" s="22">
        <f>('SERVISECURITAS 2009'!R5*0.8/100)+'SERVISECURITAS 2009'!R5</f>
        <v>13.440772800000001</v>
      </c>
      <c r="T5" s="22">
        <f>('SERVISECURITAS 2009'!S5*0.8/100)+'SERVISECURITAS 2009'!S5</f>
        <v>26.89176672</v>
      </c>
      <c r="U5" s="22">
        <v>24.66</v>
      </c>
      <c r="V5" s="22">
        <f>('SERVISECURITAS 2009'!U5*0.8/100)+'SERVISECURITAS 2009'!U5</f>
        <v>118.96361567999999</v>
      </c>
      <c r="W5" s="22">
        <f>('SERVISECURITAS 2009'!V5*0.8/100)+'SERVISECURITAS 2009'!V5</f>
        <v>102.21120000000001</v>
      </c>
      <c r="X5" s="22">
        <f t="shared" si="5"/>
        <v>71.552999999999997</v>
      </c>
      <c r="Y5" s="23">
        <f t="shared" si="3"/>
        <v>2.3851</v>
      </c>
      <c r="Z5" s="22">
        <f>('SERVISECURITAS 2009'!Y5*0.8/100)+'SERVISECURITAS 2009'!Y5</f>
        <v>47.896168319999994</v>
      </c>
    </row>
    <row r="6" spans="1:26" ht="18" customHeight="1" x14ac:dyDescent="0.2">
      <c r="A6" s="61">
        <v>2103</v>
      </c>
      <c r="B6" s="21" t="s">
        <v>46</v>
      </c>
      <c r="C6" s="25">
        <v>1431.06</v>
      </c>
      <c r="D6" s="58">
        <f t="shared" si="0"/>
        <v>47.701999999999998</v>
      </c>
      <c r="E6" s="25">
        <v>69.38</v>
      </c>
      <c r="F6" s="23">
        <f t="shared" si="1"/>
        <v>2.3126666666666664</v>
      </c>
      <c r="G6" s="22"/>
      <c r="H6" s="24"/>
      <c r="I6" s="22"/>
      <c r="J6" s="22"/>
      <c r="K6" s="15">
        <f t="shared" si="2"/>
        <v>1500.44</v>
      </c>
      <c r="L6" s="15">
        <f t="shared" si="4"/>
        <v>20987.4</v>
      </c>
      <c r="M6" s="22"/>
      <c r="N6" s="46"/>
      <c r="O6" s="22"/>
      <c r="P6" s="22">
        <f>('SERVISECURITAS 2009'!O6*0.8/100)+'SERVISECURITAS 2009'!O6</f>
        <v>0.22486464</v>
      </c>
      <c r="Q6" s="22"/>
      <c r="R6" s="22">
        <f>('SERVISECURITAS 2009'!Q6*0.8/100)+'SERVISECURITAS 2009'!Q6</f>
        <v>8.0542425600000005</v>
      </c>
      <c r="S6" s="22">
        <f>('SERVISECURITAS 2009'!R6*0.8/100)+'SERVISECURITAS 2009'!R6</f>
        <v>13.440772800000001</v>
      </c>
      <c r="T6" s="22">
        <f>('SERVISECURITAS 2009'!S6*0.8/100)+'SERVISECURITAS 2009'!S6</f>
        <v>26.89176672</v>
      </c>
      <c r="U6" s="22">
        <v>24.66</v>
      </c>
      <c r="V6" s="22">
        <f>('SERVISECURITAS 2009'!U6*0.8/100)+'SERVISECURITAS 2009'!U6</f>
        <v>118.96361567999999</v>
      </c>
      <c r="W6" s="22">
        <f>('SERVISECURITAS 2009'!V6*0.8/100)+'SERVISECURITAS 2009'!V6</f>
        <v>102.21120000000001</v>
      </c>
      <c r="X6" s="22">
        <f t="shared" si="5"/>
        <v>71.552999999999997</v>
      </c>
      <c r="Y6" s="23">
        <f t="shared" si="3"/>
        <v>2.3851</v>
      </c>
      <c r="Z6" s="22">
        <f>('SERVISECURITAS 2009'!Y6*0.8/100)+'SERVISECURITAS 2009'!Y6</f>
        <v>47.896168319999994</v>
      </c>
    </row>
    <row r="7" spans="1:26" ht="18" customHeight="1" x14ac:dyDescent="0.2">
      <c r="A7" s="61">
        <v>2122</v>
      </c>
      <c r="B7" s="21" t="s">
        <v>17</v>
      </c>
      <c r="C7" s="25">
        <v>1360.49</v>
      </c>
      <c r="D7" s="58">
        <f t="shared" si="0"/>
        <v>45.349666666666664</v>
      </c>
      <c r="E7" s="25">
        <v>69.38</v>
      </c>
      <c r="F7" s="23">
        <f t="shared" si="1"/>
        <v>2.3126666666666664</v>
      </c>
      <c r="G7" s="22"/>
      <c r="H7" s="24"/>
      <c r="I7" s="22"/>
      <c r="J7" s="22"/>
      <c r="K7" s="15">
        <f t="shared" si="2"/>
        <v>1429.87</v>
      </c>
      <c r="L7" s="15">
        <f t="shared" si="4"/>
        <v>19999.420000000002</v>
      </c>
      <c r="M7" s="22"/>
      <c r="N7" s="46"/>
      <c r="O7" s="22"/>
      <c r="P7" s="22">
        <f>('SERVISECURITAS 2009'!O7*0.8/100)+'SERVISECURITAS 2009'!O7</f>
        <v>0.22486464</v>
      </c>
      <c r="Q7" s="22"/>
      <c r="R7" s="22">
        <f>('SERVISECURITAS 2009'!Q7*0.8/100)+'SERVISECURITAS 2009'!Q7</f>
        <v>8.0542425600000005</v>
      </c>
      <c r="S7" s="22">
        <f>('SERVISECURITAS 2009'!R7*0.8/100)+'SERVISECURITAS 2009'!R7</f>
        <v>13.440772800000001</v>
      </c>
      <c r="T7" s="22">
        <f>('SERVISECURITAS 2009'!S7*0.8/100)+'SERVISECURITAS 2009'!S7</f>
        <v>26.89176672</v>
      </c>
      <c r="U7" s="22">
        <v>24.66</v>
      </c>
      <c r="V7" s="22">
        <f>('SERVISECURITAS 2009'!U7*0.8/100)+'SERVISECURITAS 2009'!U7</f>
        <v>118.96361567999999</v>
      </c>
      <c r="W7" s="22">
        <f>('SERVISECURITAS 2009'!V7*0.8/100)+'SERVISECURITAS 2009'!V7</f>
        <v>102.21120000000001</v>
      </c>
      <c r="X7" s="22">
        <f t="shared" si="5"/>
        <v>68.024500000000003</v>
      </c>
      <c r="Y7" s="23">
        <f t="shared" si="3"/>
        <v>2.2674833333333333</v>
      </c>
      <c r="Z7" s="22">
        <f>('SERVISECURITAS 2009'!Y7*0.8/100)+'SERVISECURITAS 2009'!Y7</f>
        <v>47.896168319999994</v>
      </c>
    </row>
    <row r="8" spans="1:26" ht="18" customHeight="1" x14ac:dyDescent="0.2">
      <c r="A8" s="61">
        <v>2126</v>
      </c>
      <c r="B8" s="21" t="s">
        <v>47</v>
      </c>
      <c r="C8" s="25">
        <v>1360.49</v>
      </c>
      <c r="D8" s="58">
        <f t="shared" si="0"/>
        <v>45.349666666666664</v>
      </c>
      <c r="E8" s="25">
        <v>69.38</v>
      </c>
      <c r="F8" s="23">
        <f t="shared" si="1"/>
        <v>2.3126666666666664</v>
      </c>
      <c r="G8" s="22"/>
      <c r="H8" s="24"/>
      <c r="I8" s="22"/>
      <c r="J8" s="22"/>
      <c r="K8" s="15">
        <f t="shared" si="2"/>
        <v>1429.87</v>
      </c>
      <c r="L8" s="15">
        <f t="shared" si="4"/>
        <v>19999.420000000002</v>
      </c>
      <c r="M8" s="22"/>
      <c r="N8" s="46"/>
      <c r="O8" s="22"/>
      <c r="P8" s="22">
        <f>('SERVISECURITAS 2009'!O8*0.8/100)+'SERVISECURITAS 2009'!O8</f>
        <v>0.22486464</v>
      </c>
      <c r="Q8" s="22"/>
      <c r="R8" s="22">
        <f>('SERVISECURITAS 2009'!Q8*0.8/100)+'SERVISECURITAS 2009'!Q8</f>
        <v>8.0542425600000005</v>
      </c>
      <c r="S8" s="22">
        <f>('SERVISECURITAS 2009'!R8*0.8/100)+'SERVISECURITAS 2009'!R8</f>
        <v>13.440772800000001</v>
      </c>
      <c r="T8" s="22">
        <f>('SERVISECURITAS 2009'!S8*0.8/100)+'SERVISECURITAS 2009'!S8</f>
        <v>26.89176672</v>
      </c>
      <c r="U8" s="22">
        <v>24.66</v>
      </c>
      <c r="V8" s="22">
        <f>('SERVISECURITAS 2009'!U8*0.8/100)+'SERVISECURITAS 2009'!U8</f>
        <v>118.96361567999999</v>
      </c>
      <c r="W8" s="22">
        <f>('SERVISECURITAS 2009'!V8*0.8/100)+'SERVISECURITAS 2009'!V8</f>
        <v>102.21120000000001</v>
      </c>
      <c r="X8" s="22">
        <f t="shared" si="5"/>
        <v>68.024500000000003</v>
      </c>
      <c r="Y8" s="23">
        <f t="shared" si="3"/>
        <v>2.2674833333333333</v>
      </c>
      <c r="Z8" s="22">
        <f>('SERVISECURITAS 2009'!Y8*0.8/100)+'SERVISECURITAS 2009'!Y8</f>
        <v>47.896168319999994</v>
      </c>
    </row>
    <row r="9" spans="1:26" ht="18" customHeight="1" x14ac:dyDescent="0.2">
      <c r="A9" s="61">
        <v>2113</v>
      </c>
      <c r="B9" s="21" t="s">
        <v>18</v>
      </c>
      <c r="C9" s="25">
        <v>1360.49</v>
      </c>
      <c r="D9" s="58">
        <f t="shared" si="0"/>
        <v>45.349666666666664</v>
      </c>
      <c r="E9" s="25">
        <v>69.38</v>
      </c>
      <c r="F9" s="23">
        <f t="shared" si="1"/>
        <v>2.3126666666666664</v>
      </c>
      <c r="G9" s="22"/>
      <c r="H9" s="24"/>
      <c r="I9" s="22"/>
      <c r="J9" s="22"/>
      <c r="K9" s="15">
        <f t="shared" si="2"/>
        <v>1429.87</v>
      </c>
      <c r="L9" s="15">
        <f t="shared" si="4"/>
        <v>19999.420000000002</v>
      </c>
      <c r="M9" s="22"/>
      <c r="N9" s="46"/>
      <c r="O9" s="22"/>
      <c r="P9" s="22">
        <f>('SERVISECURITAS 2009'!O9*0.8/100)+'SERVISECURITAS 2009'!O9</f>
        <v>0.22486464</v>
      </c>
      <c r="Q9" s="22"/>
      <c r="R9" s="22">
        <f>('SERVISECURITAS 2009'!Q9*0.8/100)+'SERVISECURITAS 2009'!Q9</f>
        <v>8.0542425600000005</v>
      </c>
      <c r="S9" s="22">
        <f>('SERVISECURITAS 2009'!R9*0.8/100)+'SERVISECURITAS 2009'!R9</f>
        <v>13.440772800000001</v>
      </c>
      <c r="T9" s="22">
        <f>('SERVISECURITAS 2009'!S9*0.8/100)+'SERVISECURITAS 2009'!S9</f>
        <v>26.89176672</v>
      </c>
      <c r="U9" s="22">
        <v>24.66</v>
      </c>
      <c r="V9" s="22">
        <f>('SERVISECURITAS 2009'!U9*0.8/100)+'SERVISECURITAS 2009'!U9</f>
        <v>118.96361567999999</v>
      </c>
      <c r="W9" s="22">
        <f>('SERVISECURITAS 2009'!V9*0.8/100)+'SERVISECURITAS 2009'!V9</f>
        <v>102.21120000000001</v>
      </c>
      <c r="X9" s="22">
        <f t="shared" si="5"/>
        <v>68.024500000000003</v>
      </c>
      <c r="Y9" s="23">
        <f t="shared" si="3"/>
        <v>2.2674833333333333</v>
      </c>
      <c r="Z9" s="22">
        <f>('SERVISECURITAS 2009'!Y9*0.8/100)+'SERVISECURITAS 2009'!Y9</f>
        <v>47.896168319999994</v>
      </c>
    </row>
    <row r="10" spans="1:26" ht="18" customHeight="1" x14ac:dyDescent="0.2">
      <c r="A10" s="61">
        <v>2114</v>
      </c>
      <c r="B10" s="21" t="s">
        <v>19</v>
      </c>
      <c r="C10" s="25">
        <v>1293.48</v>
      </c>
      <c r="D10" s="58">
        <f t="shared" si="0"/>
        <v>43.116</v>
      </c>
      <c r="E10" s="25">
        <v>69.38</v>
      </c>
      <c r="F10" s="23">
        <f t="shared" si="1"/>
        <v>2.3126666666666664</v>
      </c>
      <c r="G10" s="22"/>
      <c r="H10" s="24"/>
      <c r="I10" s="22"/>
      <c r="J10" s="22"/>
      <c r="K10" s="15">
        <f t="shared" si="2"/>
        <v>1362.8600000000001</v>
      </c>
      <c r="L10" s="15">
        <f t="shared" si="4"/>
        <v>19061.280000000002</v>
      </c>
      <c r="M10" s="22"/>
      <c r="N10" s="46"/>
      <c r="O10" s="22"/>
      <c r="P10" s="22">
        <f>('SERVISECURITAS 2009'!O10*0.8/100)+'SERVISECURITAS 2009'!O10</f>
        <v>0.22486464</v>
      </c>
      <c r="Q10" s="22"/>
      <c r="R10" s="22">
        <f>('SERVISECURITAS 2009'!Q10*0.8/100)+'SERVISECURITAS 2009'!Q10</f>
        <v>8.0542425600000005</v>
      </c>
      <c r="S10" s="22">
        <f>('SERVISECURITAS 2009'!R10*0.8/100)+'SERVISECURITAS 2009'!R10</f>
        <v>13.440772800000001</v>
      </c>
      <c r="T10" s="22">
        <f>('SERVISECURITAS 2009'!S10*0.8/100)+'SERVISECURITAS 2009'!S10</f>
        <v>26.89176672</v>
      </c>
      <c r="U10" s="22">
        <v>24.66</v>
      </c>
      <c r="V10" s="22">
        <f>('SERVISECURITAS 2009'!U10*0.8/100)+'SERVISECURITAS 2009'!U10</f>
        <v>118.96361567999999</v>
      </c>
      <c r="W10" s="22">
        <f>('SERVISECURITAS 2009'!V10*0.8/100)+'SERVISECURITAS 2009'!V10</f>
        <v>102.21120000000001</v>
      </c>
      <c r="X10" s="22">
        <f t="shared" si="5"/>
        <v>64.674000000000007</v>
      </c>
      <c r="Y10" s="23">
        <f t="shared" si="3"/>
        <v>2.1558000000000002</v>
      </c>
      <c r="Z10" s="22">
        <f>('SERVISECURITAS 2009'!Y10*0.8/100)+'SERVISECURITAS 2009'!Y10</f>
        <v>47.896168319999994</v>
      </c>
    </row>
    <row r="11" spans="1:26" ht="18" customHeight="1" x14ac:dyDescent="0.2">
      <c r="A11" s="60"/>
      <c r="B11" s="27" t="s">
        <v>20</v>
      </c>
      <c r="C11" s="28"/>
      <c r="D11" s="29"/>
      <c r="E11" s="28"/>
      <c r="F11" s="29"/>
      <c r="G11" s="12"/>
      <c r="H11" s="13"/>
      <c r="I11" s="12"/>
      <c r="J11" s="12"/>
      <c r="K11" s="12"/>
      <c r="L11" s="28"/>
      <c r="M11" s="47"/>
      <c r="N11" s="18"/>
      <c r="O11" s="22"/>
      <c r="P11" s="22"/>
      <c r="Q11" s="22"/>
      <c r="R11" s="22"/>
      <c r="S11" s="22"/>
      <c r="T11" s="22"/>
      <c r="U11" s="22"/>
      <c r="V11" s="22"/>
      <c r="W11" s="28"/>
      <c r="X11" s="22"/>
      <c r="Y11" s="30"/>
      <c r="Z11" s="22"/>
    </row>
    <row r="12" spans="1:26" ht="18" customHeight="1" x14ac:dyDescent="0.2">
      <c r="A12" s="61">
        <v>2201</v>
      </c>
      <c r="B12" s="21" t="s">
        <v>21</v>
      </c>
      <c r="C12" s="25">
        <v>1300.26</v>
      </c>
      <c r="D12" s="58">
        <f t="shared" ref="D12:D21" si="6">C12/30</f>
        <v>43.341999999999999</v>
      </c>
      <c r="E12" s="25">
        <v>69.38</v>
      </c>
      <c r="F12" s="23">
        <f t="shared" ref="F12:F21" si="7">E12/30</f>
        <v>2.3126666666666664</v>
      </c>
      <c r="G12" s="22"/>
      <c r="H12" s="24"/>
      <c r="I12" s="22"/>
      <c r="J12" s="22"/>
      <c r="K12" s="15">
        <f t="shared" ref="K12:K21" si="8">+I12+G12+E12+C12</f>
        <v>1369.6399999999999</v>
      </c>
      <c r="L12" s="15">
        <f t="shared" ref="L12:L21" si="9">((C12+I12)*14)+((E12+G12)*12)+120</f>
        <v>19156.2</v>
      </c>
      <c r="M12" s="22"/>
      <c r="N12" s="22">
        <v>15.18</v>
      </c>
      <c r="O12" s="22">
        <v>2.02</v>
      </c>
      <c r="P12" s="22">
        <f>('SERVISECURITAS 2009'!O12*0.8/100)+'SERVISECURITAS 2009'!O12</f>
        <v>0.22486464</v>
      </c>
      <c r="Q12" s="22">
        <f>'SERVISECURITAS 2009'!P12*0.8/100+'SERVISECURITAS 2009'!P12</f>
        <v>0.252</v>
      </c>
      <c r="R12" s="22">
        <f>('SERVISECURITAS 2009'!Q12*0.8/100)+'SERVISECURITAS 2009'!Q12</f>
        <v>8.0542425600000005</v>
      </c>
      <c r="S12" s="22">
        <f>('SERVISECURITAS 2009'!R12*0.8/100)+'SERVISECURITAS 2009'!R12</f>
        <v>13.440772800000001</v>
      </c>
      <c r="T12" s="22">
        <f>('SERVISECURITAS 2009'!S12*0.8/100)+'SERVISECURITAS 2009'!S12</f>
        <v>26.89176672</v>
      </c>
      <c r="U12" s="22">
        <v>24.66</v>
      </c>
      <c r="V12" s="22">
        <f>('SERVISECURITAS 2009'!U12*0.8/100)+'SERVISECURITAS 2009'!U12</f>
        <v>118.96361567999999</v>
      </c>
      <c r="W12" s="22">
        <f>('SERVISECURITAS 2009'!V12*0.8/100)+'SERVISECURITAS 2009'!V12</f>
        <v>102.21120000000001</v>
      </c>
      <c r="X12" s="22">
        <f t="shared" ref="X12:X21" si="10">+C12*0.05</f>
        <v>65.013000000000005</v>
      </c>
      <c r="Y12" s="23">
        <f t="shared" ref="Y12:Y21" si="11">X12/30</f>
        <v>2.1671</v>
      </c>
      <c r="Z12" s="22">
        <f>('SERVISECURITAS 2009'!Y12*0.8/100)+'SERVISECURITAS 2009'!Y12</f>
        <v>47.896168319999994</v>
      </c>
    </row>
    <row r="13" spans="1:26" ht="18" customHeight="1" x14ac:dyDescent="0.2">
      <c r="A13" s="61">
        <v>2120</v>
      </c>
      <c r="B13" s="21" t="s">
        <v>48</v>
      </c>
      <c r="C13" s="25">
        <v>1300.26</v>
      </c>
      <c r="D13" s="58">
        <f t="shared" si="6"/>
        <v>43.341999999999999</v>
      </c>
      <c r="E13" s="25">
        <v>69.38</v>
      </c>
      <c r="F13" s="23">
        <f t="shared" si="7"/>
        <v>2.3126666666666664</v>
      </c>
      <c r="G13" s="22"/>
      <c r="H13" s="24"/>
      <c r="I13" s="22"/>
      <c r="J13" s="22"/>
      <c r="K13" s="15">
        <f t="shared" si="8"/>
        <v>1369.6399999999999</v>
      </c>
      <c r="L13" s="15">
        <f t="shared" si="9"/>
        <v>19156.2</v>
      </c>
      <c r="M13" s="22"/>
      <c r="N13" s="22">
        <v>15.18</v>
      </c>
      <c r="O13" s="22">
        <v>2.02</v>
      </c>
      <c r="P13" s="22">
        <f>('SERVISECURITAS 2009'!O13*0.8/100)+'SERVISECURITAS 2009'!O13</f>
        <v>0.22486464</v>
      </c>
      <c r="Q13" s="22">
        <f>'SERVISECURITAS 2009'!P13*0.8/100+'SERVISECURITAS 2009'!P13</f>
        <v>0.252</v>
      </c>
      <c r="R13" s="22">
        <f>('SERVISECURITAS 2009'!Q13*0.8/100)+'SERVISECURITAS 2009'!Q13</f>
        <v>8.0542425600000005</v>
      </c>
      <c r="S13" s="22">
        <f>('SERVISECURITAS 2009'!R13*0.8/100)+'SERVISECURITAS 2009'!R13</f>
        <v>13.440772800000001</v>
      </c>
      <c r="T13" s="22">
        <f>('SERVISECURITAS 2009'!S13*0.8/100)+'SERVISECURITAS 2009'!S13</f>
        <v>26.89176672</v>
      </c>
      <c r="U13" s="22">
        <v>24.66</v>
      </c>
      <c r="V13" s="22">
        <f>('SERVISECURITAS 2009'!U13*0.8/100)+'SERVISECURITAS 2009'!U13</f>
        <v>118.96361567999999</v>
      </c>
      <c r="W13" s="22">
        <f>('SERVISECURITAS 2009'!V13*0.8/100)+'SERVISECURITAS 2009'!V13</f>
        <v>102.21120000000001</v>
      </c>
      <c r="X13" s="22">
        <f t="shared" si="10"/>
        <v>65.013000000000005</v>
      </c>
      <c r="Y13" s="23">
        <f t="shared" si="11"/>
        <v>2.1671</v>
      </c>
      <c r="Z13" s="22">
        <f>('SERVISECURITAS 2009'!Y13*0.8/100)+'SERVISECURITAS 2009'!Y13</f>
        <v>47.896168319999994</v>
      </c>
    </row>
    <row r="14" spans="1:26" ht="18" customHeight="1" x14ac:dyDescent="0.2">
      <c r="A14" s="61">
        <v>2207</v>
      </c>
      <c r="B14" s="21" t="s">
        <v>49</v>
      </c>
      <c r="C14" s="25">
        <v>966.21999999999991</v>
      </c>
      <c r="D14" s="58">
        <f t="shared" si="6"/>
        <v>32.207333333333331</v>
      </c>
      <c r="E14" s="25">
        <v>69.38</v>
      </c>
      <c r="F14" s="23">
        <f t="shared" si="7"/>
        <v>2.3126666666666664</v>
      </c>
      <c r="G14" s="22"/>
      <c r="H14" s="24"/>
      <c r="I14" s="22"/>
      <c r="J14" s="22"/>
      <c r="K14" s="15">
        <f t="shared" si="8"/>
        <v>1035.5999999999999</v>
      </c>
      <c r="L14" s="15">
        <f t="shared" si="9"/>
        <v>14479.639999999998</v>
      </c>
      <c r="M14" s="22"/>
      <c r="N14" s="22">
        <v>11.24</v>
      </c>
      <c r="O14" s="22">
        <v>1.49</v>
      </c>
      <c r="P14" s="22">
        <f>('SERVISECURITAS 2009'!O14*0.8/100)+'SERVISECURITAS 2009'!O14</f>
        <v>0.22486464</v>
      </c>
      <c r="Q14" s="22">
        <f>'SERVISECURITAS 2009'!P14*0.8/100+'SERVISECURITAS 2009'!P14</f>
        <v>0.252</v>
      </c>
      <c r="R14" s="22">
        <f>('SERVISECURITAS 2009'!Q14*0.8/100)+'SERVISECURITAS 2009'!Q14</f>
        <v>8.0542425600000005</v>
      </c>
      <c r="S14" s="22">
        <f>('SERVISECURITAS 2009'!R14*0.8/100)+'SERVISECURITAS 2009'!R14</f>
        <v>13.440772800000001</v>
      </c>
      <c r="T14" s="22">
        <f>('SERVISECURITAS 2009'!S14*0.8/100)+'SERVISECURITAS 2009'!S14</f>
        <v>26.89176672</v>
      </c>
      <c r="U14" s="22">
        <v>24.66</v>
      </c>
      <c r="V14" s="22">
        <f>('SERVISECURITAS 2009'!U14*0.8/100)+'SERVISECURITAS 2009'!U14</f>
        <v>118.96361567999999</v>
      </c>
      <c r="W14" s="22">
        <f>('SERVISECURITAS 2009'!V14*0.8/100)+'SERVISECURITAS 2009'!V14</f>
        <v>102.21120000000001</v>
      </c>
      <c r="X14" s="22">
        <f t="shared" si="10"/>
        <v>48.311</v>
      </c>
      <c r="Y14" s="23">
        <f t="shared" si="11"/>
        <v>1.6103666666666667</v>
      </c>
      <c r="Z14" s="22">
        <f>('SERVISECURITAS 2009'!Y14*0.8/100)+'SERVISECURITAS 2009'!Y14</f>
        <v>47.896168319999994</v>
      </c>
    </row>
    <row r="15" spans="1:26" ht="18" customHeight="1" x14ac:dyDescent="0.2">
      <c r="A15" s="61">
        <v>2202</v>
      </c>
      <c r="B15" s="21" t="s">
        <v>22</v>
      </c>
      <c r="C15" s="25">
        <v>1164.0999999999999</v>
      </c>
      <c r="D15" s="58">
        <f t="shared" si="6"/>
        <v>38.803333333333327</v>
      </c>
      <c r="E15" s="25">
        <v>69.38</v>
      </c>
      <c r="F15" s="23">
        <f t="shared" si="7"/>
        <v>2.3126666666666664</v>
      </c>
      <c r="G15" s="22"/>
      <c r="H15" s="24"/>
      <c r="I15" s="22"/>
      <c r="J15" s="22"/>
      <c r="K15" s="15">
        <f t="shared" si="8"/>
        <v>1233.48</v>
      </c>
      <c r="L15" s="15">
        <f t="shared" si="9"/>
        <v>17249.96</v>
      </c>
      <c r="M15" s="22"/>
      <c r="N15" s="22">
        <v>14.96</v>
      </c>
      <c r="O15" s="22">
        <v>1.79</v>
      </c>
      <c r="P15" s="22">
        <f>('SERVISECURITAS 2009'!O15*0.8/100)+'SERVISECURITAS 2009'!O15</f>
        <v>0.22486464</v>
      </c>
      <c r="Q15" s="22">
        <f>'SERVISECURITAS 2009'!P15*0.8/100+'SERVISECURITAS 2009'!P15</f>
        <v>0.252</v>
      </c>
      <c r="R15" s="22">
        <f>('SERVISECURITAS 2009'!Q15*0.8/100)+'SERVISECURITAS 2009'!Q15</f>
        <v>8.0542425600000005</v>
      </c>
      <c r="S15" s="22">
        <f>('SERVISECURITAS 2009'!R15*0.8/100)+'SERVISECURITAS 2009'!R15</f>
        <v>13.440772800000001</v>
      </c>
      <c r="T15" s="22">
        <f>('SERVISECURITAS 2009'!S15*0.8/100)+'SERVISECURITAS 2009'!S15</f>
        <v>26.89176672</v>
      </c>
      <c r="U15" s="22">
        <v>24.66</v>
      </c>
      <c r="V15" s="22">
        <f>('SERVISECURITAS 2009'!U15*0.8/100)+'SERVISECURITAS 2009'!U15</f>
        <v>118.96361567999999</v>
      </c>
      <c r="W15" s="22">
        <f>('SERVISECURITAS 2009'!V15*0.8/100)+'SERVISECURITAS 2009'!V15</f>
        <v>102.21120000000001</v>
      </c>
      <c r="X15" s="22">
        <f t="shared" si="10"/>
        <v>58.204999999999998</v>
      </c>
      <c r="Y15" s="23">
        <f t="shared" si="11"/>
        <v>1.9401666666666666</v>
      </c>
      <c r="Z15" s="22">
        <f>('SERVISECURITAS 2009'!Y15*0.8/100)+'SERVISECURITAS 2009'!Y15</f>
        <v>47.896168319999994</v>
      </c>
    </row>
    <row r="16" spans="1:26" ht="18" customHeight="1" x14ac:dyDescent="0.2">
      <c r="A16" s="61">
        <v>2203</v>
      </c>
      <c r="B16" s="21" t="s">
        <v>23</v>
      </c>
      <c r="C16" s="25">
        <v>958.16</v>
      </c>
      <c r="D16" s="58">
        <f t="shared" si="6"/>
        <v>31.938666666666666</v>
      </c>
      <c r="E16" s="25">
        <v>69.38</v>
      </c>
      <c r="F16" s="23">
        <f t="shared" si="7"/>
        <v>2.3126666666666664</v>
      </c>
      <c r="G16" s="22"/>
      <c r="H16" s="24"/>
      <c r="I16" s="22"/>
      <c r="J16" s="22"/>
      <c r="K16" s="15">
        <f t="shared" si="8"/>
        <v>1027.54</v>
      </c>
      <c r="L16" s="15">
        <f t="shared" si="9"/>
        <v>14366.8</v>
      </c>
      <c r="M16" s="22"/>
      <c r="N16" s="22">
        <v>13.57</v>
      </c>
      <c r="O16" s="22">
        <v>1.47</v>
      </c>
      <c r="P16" s="22">
        <f>('SERVISECURITAS 2009'!O16*0.8/100)+'SERVISECURITAS 2009'!O16</f>
        <v>0.22486464</v>
      </c>
      <c r="Q16" s="22">
        <f>'SERVISECURITAS 2009'!P16*0.8/100+'SERVISECURITAS 2009'!P16</f>
        <v>0.252</v>
      </c>
      <c r="R16" s="22">
        <f>('SERVISECURITAS 2009'!Q16*0.8/100)+'SERVISECURITAS 2009'!Q16</f>
        <v>8.0542425600000005</v>
      </c>
      <c r="S16" s="22">
        <f>('SERVISECURITAS 2009'!R16*0.8/100)+'SERVISECURITAS 2009'!R16</f>
        <v>13.440772800000001</v>
      </c>
      <c r="T16" s="22">
        <f>('SERVISECURITAS 2009'!S16*0.8/100)+'SERVISECURITAS 2009'!S16</f>
        <v>26.89176672</v>
      </c>
      <c r="U16" s="22">
        <v>24.66</v>
      </c>
      <c r="V16" s="22">
        <f>('SERVISECURITAS 2009'!U16*0.8/100)+'SERVISECURITAS 2009'!U16</f>
        <v>118.96361567999999</v>
      </c>
      <c r="W16" s="22">
        <f>('SERVISECURITAS 2009'!V16*0.8/100)+'SERVISECURITAS 2009'!V16</f>
        <v>102.21120000000001</v>
      </c>
      <c r="X16" s="22">
        <f t="shared" si="10"/>
        <v>47.908000000000001</v>
      </c>
      <c r="Y16" s="23">
        <f t="shared" si="11"/>
        <v>1.5969333333333333</v>
      </c>
      <c r="Z16" s="22">
        <f>('SERVISECURITAS 2009'!Y16*0.8/100)+'SERVISECURITAS 2009'!Y16</f>
        <v>47.896168319999994</v>
      </c>
    </row>
    <row r="17" spans="1:26" ht="18" customHeight="1" x14ac:dyDescent="0.2">
      <c r="A17" s="61">
        <v>2204</v>
      </c>
      <c r="B17" s="21" t="s">
        <v>24</v>
      </c>
      <c r="C17" s="25">
        <v>880.20999999999992</v>
      </c>
      <c r="D17" s="58">
        <f t="shared" si="6"/>
        <v>29.34033333333333</v>
      </c>
      <c r="E17" s="25">
        <v>69.38</v>
      </c>
      <c r="F17" s="23">
        <f t="shared" si="7"/>
        <v>2.3126666666666664</v>
      </c>
      <c r="G17" s="22"/>
      <c r="H17" s="24"/>
      <c r="I17" s="22"/>
      <c r="J17" s="22"/>
      <c r="K17" s="15">
        <f t="shared" si="8"/>
        <v>949.58999999999992</v>
      </c>
      <c r="L17" s="15">
        <f t="shared" si="9"/>
        <v>13275.499999999998</v>
      </c>
      <c r="M17" s="22"/>
      <c r="N17" s="22">
        <v>10.18</v>
      </c>
      <c r="O17" s="22">
        <v>1.35</v>
      </c>
      <c r="P17" s="22">
        <f>('SERVISECURITAS 2009'!O17*0.8/100)+'SERVISECURITAS 2009'!O17</f>
        <v>0.22486464</v>
      </c>
      <c r="Q17" s="22">
        <f>'SERVISECURITAS 2009'!P17*0.8/100+'SERVISECURITAS 2009'!P17</f>
        <v>0.252</v>
      </c>
      <c r="R17" s="22">
        <f>('SERVISECURITAS 2009'!Q17*0.8/100)+'SERVISECURITAS 2009'!Q17</f>
        <v>8.0542425600000005</v>
      </c>
      <c r="S17" s="22">
        <f>('SERVISECURITAS 2009'!R17*0.8/100)+'SERVISECURITAS 2009'!R17</f>
        <v>13.440772800000001</v>
      </c>
      <c r="T17" s="22">
        <f>('SERVISECURITAS 2009'!S17*0.8/100)+'SERVISECURITAS 2009'!S17</f>
        <v>26.89176672</v>
      </c>
      <c r="U17" s="22">
        <v>24.66</v>
      </c>
      <c r="V17" s="22">
        <f>('SERVISECURITAS 2009'!U17*0.8/100)+'SERVISECURITAS 2009'!U17</f>
        <v>118.96361567999999</v>
      </c>
      <c r="W17" s="22">
        <f>('SERVISECURITAS 2009'!V17*0.8/100)+'SERVISECURITAS 2009'!V17</f>
        <v>102.21120000000001</v>
      </c>
      <c r="X17" s="22">
        <f t="shared" si="10"/>
        <v>44.0105</v>
      </c>
      <c r="Y17" s="23">
        <f t="shared" si="11"/>
        <v>1.4670166666666666</v>
      </c>
      <c r="Z17" s="22">
        <f>('SERVISECURITAS 2009'!Y17*0.8/100)+'SERVISECURITAS 2009'!Y17</f>
        <v>47.896168319999994</v>
      </c>
    </row>
    <row r="18" spans="1:26" ht="18" customHeight="1" x14ac:dyDescent="0.2">
      <c r="A18" s="61">
        <v>2206</v>
      </c>
      <c r="B18" s="21" t="s">
        <v>25</v>
      </c>
      <c r="C18" s="25">
        <v>692.88</v>
      </c>
      <c r="D18" s="58">
        <f t="shared" si="6"/>
        <v>23.096</v>
      </c>
      <c r="E18" s="25">
        <v>69.38</v>
      </c>
      <c r="F18" s="23">
        <f t="shared" si="7"/>
        <v>2.3126666666666664</v>
      </c>
      <c r="G18" s="22"/>
      <c r="H18" s="24"/>
      <c r="I18" s="22"/>
      <c r="J18" s="22"/>
      <c r="K18" s="15">
        <f t="shared" si="8"/>
        <v>762.26</v>
      </c>
      <c r="L18" s="15">
        <f t="shared" si="9"/>
        <v>10652.88</v>
      </c>
      <c r="M18" s="22"/>
      <c r="N18" s="22">
        <v>7.98</v>
      </c>
      <c r="O18" s="22">
        <v>1.04</v>
      </c>
      <c r="P18" s="22">
        <f>('SERVISECURITAS 2009'!O18*0.8/100)+'SERVISECURITAS 2009'!O18</f>
        <v>0.22486464</v>
      </c>
      <c r="Q18" s="22">
        <v>52</v>
      </c>
      <c r="R18" s="22">
        <f>('SERVISECURITAS 2009'!Q18*0.8/100)+'SERVISECURITAS 2009'!Q18</f>
        <v>8.0542425600000005</v>
      </c>
      <c r="S18" s="22">
        <f>('SERVISECURITAS 2009'!R18*0.8/100)+'SERVISECURITAS 2009'!R18</f>
        <v>13.440772800000001</v>
      </c>
      <c r="T18" s="22">
        <f>('SERVISECURITAS 2009'!S18*0.8/100)+'SERVISECURITAS 2009'!S18</f>
        <v>26.89176672</v>
      </c>
      <c r="U18" s="22">
        <v>24.66</v>
      </c>
      <c r="V18" s="22">
        <f>('SERVISECURITAS 2009'!U18*0.8/100)+'SERVISECURITAS 2009'!U18</f>
        <v>118.96361567999999</v>
      </c>
      <c r="W18" s="22">
        <f>('SERVISECURITAS 2009'!V18*0.8/100)+'SERVISECURITAS 2009'!V18</f>
        <v>102.21120000000001</v>
      </c>
      <c r="X18" s="22">
        <f t="shared" si="10"/>
        <v>34.643999999999998</v>
      </c>
      <c r="Y18" s="23">
        <f t="shared" si="11"/>
        <v>1.1548</v>
      </c>
      <c r="Z18" s="22">
        <f>('SERVISECURITAS 2009'!Y18*0.8/100)+'SERVISECURITAS 2009'!Y18</f>
        <v>47.896168319999994</v>
      </c>
    </row>
    <row r="19" spans="1:26" ht="18" customHeight="1" x14ac:dyDescent="0.2">
      <c r="A19" s="61">
        <v>2210</v>
      </c>
      <c r="B19" s="21" t="s">
        <v>26</v>
      </c>
      <c r="C19" s="25">
        <v>645.29999999999995</v>
      </c>
      <c r="D19" s="58">
        <f t="shared" si="6"/>
        <v>21.509999999999998</v>
      </c>
      <c r="E19" s="25">
        <v>69.38</v>
      </c>
      <c r="F19" s="23">
        <f t="shared" si="7"/>
        <v>2.3126666666666664</v>
      </c>
      <c r="G19" s="22"/>
      <c r="H19" s="24"/>
      <c r="I19" s="22"/>
      <c r="J19" s="22"/>
      <c r="K19" s="15">
        <f t="shared" si="8"/>
        <v>714.68</v>
      </c>
      <c r="L19" s="15">
        <f t="shared" si="9"/>
        <v>9986.7599999999984</v>
      </c>
      <c r="M19" s="22"/>
      <c r="N19" s="22">
        <v>5.54</v>
      </c>
      <c r="O19" s="22">
        <v>0.94</v>
      </c>
      <c r="P19" s="22">
        <f>('SERVISECURITAS 2009'!O19*0.8/100)+'SERVISECURITAS 2009'!O19</f>
        <v>0.22486464</v>
      </c>
      <c r="Q19" s="22">
        <f>'SERVISECURITAS 2009'!P19*0.8/100+'SERVISECURITAS 2009'!P19</f>
        <v>0.252</v>
      </c>
      <c r="R19" s="22">
        <f>('SERVISECURITAS 2009'!Q19*0.8/100)+'SERVISECURITAS 2009'!Q19</f>
        <v>8.0542425600000005</v>
      </c>
      <c r="S19" s="22">
        <f>('SERVISECURITAS 2009'!R19*0.8/100)+'SERVISECURITAS 2009'!R19</f>
        <v>13.440772800000001</v>
      </c>
      <c r="T19" s="22">
        <f>('SERVISECURITAS 2009'!S19*0.8/100)+'SERVISECURITAS 2009'!S19</f>
        <v>26.89176672</v>
      </c>
      <c r="U19" s="22">
        <v>24.66</v>
      </c>
      <c r="V19" s="22">
        <f>('SERVISECURITAS 2009'!U19*0.8/100)+'SERVISECURITAS 2009'!U19</f>
        <v>118.96361567999999</v>
      </c>
      <c r="W19" s="22">
        <f>('SERVISECURITAS 2009'!V19*0.8/100)+'SERVISECURITAS 2009'!V19</f>
        <v>102.21120000000001</v>
      </c>
      <c r="X19" s="22">
        <f t="shared" si="10"/>
        <v>32.265000000000001</v>
      </c>
      <c r="Y19" s="23">
        <f t="shared" si="11"/>
        <v>1.0755000000000001</v>
      </c>
      <c r="Z19" s="22">
        <f>('SERVISECURITAS 2009'!Y19*0.8/100)+'SERVISECURITAS 2009'!Y19</f>
        <v>47.896168319999994</v>
      </c>
    </row>
    <row r="20" spans="1:26" ht="18" customHeight="1" x14ac:dyDescent="0.2">
      <c r="A20" s="61">
        <v>2209</v>
      </c>
      <c r="B20" s="21" t="s">
        <v>60</v>
      </c>
      <c r="C20" s="25">
        <v>692.88</v>
      </c>
      <c r="D20" s="58">
        <f>C20/30</f>
        <v>23.096</v>
      </c>
      <c r="E20" s="25">
        <v>69.38</v>
      </c>
      <c r="F20" s="23">
        <f>E20/30</f>
        <v>2.3126666666666664</v>
      </c>
      <c r="G20" s="22"/>
      <c r="H20" s="24"/>
      <c r="I20" s="22"/>
      <c r="J20" s="22"/>
      <c r="K20" s="15">
        <f>+I20+G20+E20+C20</f>
        <v>762.26</v>
      </c>
      <c r="L20" s="15">
        <f>((C20+I20)*14)+((E20+G20)*12)+120</f>
        <v>10652.88</v>
      </c>
      <c r="M20" s="22"/>
      <c r="N20" s="22">
        <v>7.98</v>
      </c>
      <c r="O20" s="22">
        <v>1.05</v>
      </c>
      <c r="P20" s="22">
        <f>('SERVISECURITAS 2009'!O19*0.8/100)+'SERVISECURITAS 2009'!O19</f>
        <v>0.22486464</v>
      </c>
      <c r="Q20" s="22">
        <f>'SERVISECURITAS 2009'!P19*0.8/100+'SERVISECURITAS 2009'!P19</f>
        <v>0.252</v>
      </c>
      <c r="R20" s="22">
        <f>('SERVISECURITAS 2009'!Q19*0.8/100)+'SERVISECURITAS 2009'!Q19</f>
        <v>8.0542425600000005</v>
      </c>
      <c r="S20" s="22">
        <f>('SERVISECURITAS 2009'!R19*0.8/100)+'SERVISECURITAS 2009'!R19</f>
        <v>13.440772800000001</v>
      </c>
      <c r="T20" s="22">
        <f>('SERVISECURITAS 2009'!S19*0.8/100)+'SERVISECURITAS 2009'!S19</f>
        <v>26.89176672</v>
      </c>
      <c r="U20" s="22">
        <v>24.66</v>
      </c>
      <c r="V20" s="22">
        <f>('SERVISECURITAS 2009'!U19*0.8/100)+'SERVISECURITAS 2009'!U19</f>
        <v>118.96361567999999</v>
      </c>
      <c r="W20" s="22">
        <f>('SERVISECURITAS 2009'!V19*0.8/100)+'SERVISECURITAS 2009'!V19</f>
        <v>102.21120000000001</v>
      </c>
      <c r="X20" s="22">
        <f>+C20*0.05</f>
        <v>34.643999999999998</v>
      </c>
      <c r="Y20" s="23">
        <f>X20/30</f>
        <v>1.1548</v>
      </c>
      <c r="Z20" s="22">
        <f>('SERVISECURITAS 2009'!Y19*0.8/100)+'SERVISECURITAS 2009'!Y19</f>
        <v>47.896168319999994</v>
      </c>
    </row>
    <row r="21" spans="1:26" ht="18" customHeight="1" x14ac:dyDescent="0.2">
      <c r="A21" s="61">
        <v>2216</v>
      </c>
      <c r="B21" s="21" t="s">
        <v>67</v>
      </c>
      <c r="C21" s="25">
        <v>692.88</v>
      </c>
      <c r="D21" s="58">
        <f t="shared" si="6"/>
        <v>23.096</v>
      </c>
      <c r="E21" s="25">
        <v>69.38</v>
      </c>
      <c r="F21" s="23">
        <f t="shared" si="7"/>
        <v>2.3126666666666664</v>
      </c>
      <c r="G21" s="22"/>
      <c r="H21" s="24"/>
      <c r="I21" s="22"/>
      <c r="J21" s="22"/>
      <c r="K21" s="15">
        <f t="shared" si="8"/>
        <v>762.26</v>
      </c>
      <c r="L21" s="15">
        <f t="shared" si="9"/>
        <v>10652.88</v>
      </c>
      <c r="M21" s="22"/>
      <c r="N21" s="22">
        <v>7.98</v>
      </c>
      <c r="O21" s="22">
        <v>1.05</v>
      </c>
      <c r="P21" s="22">
        <f>('SERVISECURITAS 2009'!O20*0.8/100)+'SERVISECURITAS 2009'!O20</f>
        <v>0.22486464</v>
      </c>
      <c r="Q21" s="22">
        <f>'SERVISECURITAS 2009'!P20*0.8/100+'SERVISECURITAS 2009'!P20</f>
        <v>0.252</v>
      </c>
      <c r="R21" s="22">
        <f>('SERVISECURITAS 2009'!Q20*0.8/100)+'SERVISECURITAS 2009'!Q20</f>
        <v>8.0542425600000005</v>
      </c>
      <c r="S21" s="22">
        <f>('SERVISECURITAS 2009'!R20*0.8/100)+'SERVISECURITAS 2009'!R20</f>
        <v>13.440772800000001</v>
      </c>
      <c r="T21" s="22">
        <f>('SERVISECURITAS 2009'!S20*0.8/100)+'SERVISECURITAS 2009'!S20</f>
        <v>26.89176672</v>
      </c>
      <c r="U21" s="22">
        <v>24.66</v>
      </c>
      <c r="V21" s="22">
        <f>('SERVISECURITAS 2009'!U20*0.8/100)+'SERVISECURITAS 2009'!U20</f>
        <v>118.96361567999999</v>
      </c>
      <c r="W21" s="22">
        <f>('SERVISECURITAS 2009'!V20*0.8/100)+'SERVISECURITAS 2009'!V20</f>
        <v>102.21120000000001</v>
      </c>
      <c r="X21" s="22">
        <f t="shared" si="10"/>
        <v>34.643999999999998</v>
      </c>
      <c r="Y21" s="23">
        <f t="shared" si="11"/>
        <v>1.1548</v>
      </c>
      <c r="Z21" s="22">
        <f>('SERVISECURITAS 2009'!Y20*0.8/100)+'SERVISECURITAS 2009'!Y20</f>
        <v>47.896168319999994</v>
      </c>
    </row>
    <row r="22" spans="1:26" ht="18" customHeight="1" x14ac:dyDescent="0.2">
      <c r="A22" s="60"/>
      <c r="B22" s="27" t="s">
        <v>28</v>
      </c>
      <c r="C22" s="28"/>
      <c r="D22" s="29"/>
      <c r="E22" s="28"/>
      <c r="F22" s="29"/>
      <c r="G22" s="28"/>
      <c r="H22" s="29"/>
      <c r="I22" s="28"/>
      <c r="J22" s="28"/>
      <c r="K22" s="12"/>
      <c r="L22" s="28"/>
      <c r="M22" s="47"/>
      <c r="N22" s="18"/>
      <c r="O22" s="22"/>
      <c r="P22" s="22"/>
      <c r="Q22" s="22"/>
      <c r="R22" s="22"/>
      <c r="S22" s="22"/>
      <c r="T22" s="22"/>
      <c r="U22" s="22"/>
      <c r="V22" s="22"/>
      <c r="W22" s="28"/>
      <c r="X22" s="22"/>
      <c r="Y22" s="30"/>
      <c r="Z22" s="22"/>
    </row>
    <row r="23" spans="1:26" ht="18" customHeight="1" x14ac:dyDescent="0.2">
      <c r="A23" s="61">
        <v>2504</v>
      </c>
      <c r="B23" s="21" t="s">
        <v>29</v>
      </c>
      <c r="C23" s="22">
        <v>1293.48</v>
      </c>
      <c r="D23" s="23">
        <f>C23/30</f>
        <v>43.116</v>
      </c>
      <c r="E23" s="22">
        <v>69.38</v>
      </c>
      <c r="F23" s="23">
        <f>E23/30</f>
        <v>2.3126666666666664</v>
      </c>
      <c r="G23" s="22"/>
      <c r="H23" s="24"/>
      <c r="I23" s="22"/>
      <c r="J23" s="22"/>
      <c r="K23" s="15">
        <f>+I23+G23+E23+C23</f>
        <v>1362.8600000000001</v>
      </c>
      <c r="L23" s="15">
        <f>((C23+I23)*14)+((E23+G23)*12)+120</f>
        <v>19061.280000000002</v>
      </c>
      <c r="M23" s="22"/>
      <c r="N23" s="22">
        <v>15</v>
      </c>
      <c r="O23" s="22">
        <v>2.02</v>
      </c>
      <c r="P23" s="22">
        <f>('SERVISECURITAS 2009'!O22*0.8/100)+'SERVISECURITAS 2009'!O22</f>
        <v>0.22486464</v>
      </c>
      <c r="Q23" s="22">
        <f>'SERVISECURITAS 2009'!P22*0.8/100+'SERVISECURITAS 2009'!P22</f>
        <v>0.252</v>
      </c>
      <c r="R23" s="22">
        <f>('SERVISECURITAS 2009'!Q22*0.8/100)+'SERVISECURITAS 2009'!Q22</f>
        <v>8.0542425600000005</v>
      </c>
      <c r="S23" s="22">
        <f>('SERVISECURITAS 2009'!R22*0.8/100)+'SERVISECURITAS 2009'!R22</f>
        <v>13.440772800000001</v>
      </c>
      <c r="T23" s="22">
        <f>('SERVISECURITAS 2009'!S22*0.8/100)+'SERVISECURITAS 2009'!S22</f>
        <v>26.89176672</v>
      </c>
      <c r="U23" s="22">
        <v>24.66</v>
      </c>
      <c r="V23" s="22">
        <f>('SERVISECURITAS 2009'!U22*0.8/100)+'SERVISECURITAS 2009'!U22</f>
        <v>118.96361567999999</v>
      </c>
      <c r="W23" s="22">
        <f>('SERVISECURITAS 2009'!V22*0.8/100)+'SERVISECURITAS 2009'!V22</f>
        <v>102.21120000000001</v>
      </c>
      <c r="X23" s="22">
        <f>+C23*0.05</f>
        <v>64.674000000000007</v>
      </c>
      <c r="Y23" s="23">
        <f>X23/30</f>
        <v>2.1558000000000002</v>
      </c>
      <c r="Z23" s="22">
        <f>('SERVISECURITAS 2009'!Y22*0.8/100)+'SERVISECURITAS 2009'!Y22</f>
        <v>47.896168319999994</v>
      </c>
    </row>
    <row r="24" spans="1:26" ht="18" customHeight="1" x14ac:dyDescent="0.2">
      <c r="A24" s="61">
        <v>2227</v>
      </c>
      <c r="B24" s="21" t="s">
        <v>30</v>
      </c>
      <c r="C24" s="22">
        <v>958.16</v>
      </c>
      <c r="D24" s="23">
        <f>C24/30</f>
        <v>31.938666666666666</v>
      </c>
      <c r="E24" s="22">
        <v>69.38</v>
      </c>
      <c r="F24" s="23">
        <f>E24/30</f>
        <v>2.3126666666666664</v>
      </c>
      <c r="G24" s="22"/>
      <c r="H24" s="24"/>
      <c r="I24" s="22"/>
      <c r="J24" s="22"/>
      <c r="K24" s="15">
        <f>+I24+G24+E24+C24</f>
        <v>1027.54</v>
      </c>
      <c r="L24" s="15">
        <f>((C24+I24)*14)+((E24+G24)*12)+120</f>
        <v>14366.8</v>
      </c>
      <c r="M24" s="22"/>
      <c r="N24" s="22">
        <v>11.12</v>
      </c>
      <c r="O24" s="22">
        <v>1.47</v>
      </c>
      <c r="P24" s="22">
        <f>('SERVISECURITAS 2009'!O23*0.8/100)+'SERVISECURITAS 2009'!O23</f>
        <v>0.22486464</v>
      </c>
      <c r="Q24" s="22">
        <f>'SERVISECURITAS 2009'!P23*0.8/100+'SERVISECURITAS 2009'!P23</f>
        <v>0.252</v>
      </c>
      <c r="R24" s="22">
        <f>('SERVISECURITAS 2009'!Q23*0.8/100)+'SERVISECURITAS 2009'!Q23</f>
        <v>8.0542425600000005</v>
      </c>
      <c r="S24" s="22">
        <f>('SERVISECURITAS 2009'!R23*0.8/100)+'SERVISECURITAS 2009'!R23</f>
        <v>13.440772800000001</v>
      </c>
      <c r="T24" s="22">
        <f>('SERVISECURITAS 2009'!S23*0.8/100)+'SERVISECURITAS 2009'!S23</f>
        <v>26.89176672</v>
      </c>
      <c r="U24" s="22">
        <v>24.66</v>
      </c>
      <c r="V24" s="22">
        <f>('SERVISECURITAS 2009'!U23*0.8/100)+'SERVISECURITAS 2009'!U23</f>
        <v>118.96361567999999</v>
      </c>
      <c r="W24" s="22">
        <f>('SERVISECURITAS 2009'!V23*0.8/100)+'SERVISECURITAS 2009'!V23</f>
        <v>102.21120000000001</v>
      </c>
      <c r="X24" s="22">
        <f>+C24*0.05</f>
        <v>47.908000000000001</v>
      </c>
      <c r="Y24" s="23">
        <f>X24/30</f>
        <v>1.5969333333333333</v>
      </c>
      <c r="Z24" s="22">
        <f>('SERVISECURITAS 2009'!Y23*0.8/100)+'SERVISECURITAS 2009'!Y23</f>
        <v>47.896168319999994</v>
      </c>
    </row>
    <row r="25" spans="1:26" ht="18" customHeight="1" x14ac:dyDescent="0.2">
      <c r="A25" s="60"/>
      <c r="B25" s="27" t="s">
        <v>31</v>
      </c>
      <c r="C25" s="28"/>
      <c r="D25" s="29"/>
      <c r="E25" s="28"/>
      <c r="F25" s="29"/>
      <c r="G25" s="28"/>
      <c r="H25" s="29"/>
      <c r="I25" s="28"/>
      <c r="J25" s="28"/>
      <c r="K25" s="12"/>
      <c r="L25" s="28"/>
      <c r="M25" s="47"/>
      <c r="N25" s="18"/>
      <c r="O25" s="22"/>
      <c r="P25" s="22"/>
      <c r="Q25" s="22"/>
      <c r="R25" s="22"/>
      <c r="S25" s="22"/>
      <c r="T25" s="22"/>
      <c r="U25" s="22"/>
      <c r="V25" s="22"/>
      <c r="W25" s="28"/>
      <c r="X25" s="22"/>
      <c r="Y25" s="30"/>
      <c r="Z25" s="22"/>
    </row>
    <row r="26" spans="1:26" ht="18" customHeight="1" x14ac:dyDescent="0.2">
      <c r="A26" s="61">
        <v>2042</v>
      </c>
      <c r="B26" s="21" t="s">
        <v>65</v>
      </c>
      <c r="C26" s="25">
        <v>645.29999999999995</v>
      </c>
      <c r="D26" s="58">
        <f t="shared" ref="D26:D35" si="12">C26/30</f>
        <v>21.509999999999998</v>
      </c>
      <c r="E26" s="25">
        <v>69.38</v>
      </c>
      <c r="F26" s="58">
        <f t="shared" ref="F26:F35" si="13">E26/30</f>
        <v>2.3126666666666664</v>
      </c>
      <c r="G26" s="25">
        <v>27.76</v>
      </c>
      <c r="H26" s="23">
        <f t="shared" ref="H26:H35" si="14">G26/30</f>
        <v>0.92533333333333334</v>
      </c>
      <c r="I26" s="22"/>
      <c r="J26" s="22"/>
      <c r="K26" s="15">
        <f t="shared" ref="K26:K34" si="15">+I26+G26+E26+C26</f>
        <v>742.43999999999994</v>
      </c>
      <c r="L26" s="15">
        <f t="shared" ref="L26:L35" si="16">((C26+I26)*14)+((E26+G26)*12)+120</f>
        <v>10319.879999999999</v>
      </c>
      <c r="M26" s="22"/>
      <c r="N26" s="22">
        <v>6.7</v>
      </c>
      <c r="O26" s="22">
        <v>0.96</v>
      </c>
      <c r="P26" s="22">
        <v>0.22</v>
      </c>
      <c r="Q26" s="22">
        <f>'SERVISECURITAS 2009'!P25*0.8/100+'SERVISECURITAS 2009'!P25</f>
        <v>0.252</v>
      </c>
      <c r="R26" s="22">
        <f>('SERVISECURITAS 2009'!Q25*0.8/100)+'SERVISECURITAS 2009'!Q25</f>
        <v>8.0542425600000005</v>
      </c>
      <c r="S26" s="22">
        <f>('SERVISECURITAS 2009'!R25*0.8/100)+'SERVISECURITAS 2009'!R25</f>
        <v>13.440772800000001</v>
      </c>
      <c r="T26" s="22">
        <f>('SERVISECURITAS 2009'!S25*0.8/100)+'SERVISECURITAS 2009'!S25</f>
        <v>26.89176672</v>
      </c>
      <c r="U26" s="22">
        <v>24.66</v>
      </c>
      <c r="V26" s="22">
        <f>('SERVISECURITAS 2009'!U25*0.8/100)+'SERVISECURITAS 2009'!U25</f>
        <v>118.96361567999999</v>
      </c>
      <c r="W26" s="22">
        <f>('SERVISECURITAS 2009'!V25*0.8/100)+'SERVISECURITAS 2009'!V25</f>
        <v>102.21120000000001</v>
      </c>
      <c r="X26" s="22">
        <f t="shared" ref="X26:X35" si="17">+C26*0.05</f>
        <v>32.265000000000001</v>
      </c>
      <c r="Y26" s="23">
        <f t="shared" ref="Y26:Y35" si="18">X26/30</f>
        <v>1.0755000000000001</v>
      </c>
      <c r="Z26" s="22">
        <f>('SERVISECURITAS 2009'!Y25*0.8/100)+'SERVISECURITAS 2009'!Y25</f>
        <v>47.896168319999994</v>
      </c>
    </row>
    <row r="27" spans="1:26" ht="18" customHeight="1" x14ac:dyDescent="0.2">
      <c r="A27" s="61">
        <v>2047</v>
      </c>
      <c r="B27" s="21" t="s">
        <v>66</v>
      </c>
      <c r="C27" s="25">
        <v>645.29999999999995</v>
      </c>
      <c r="D27" s="58">
        <f>C27/30</f>
        <v>21.509999999999998</v>
      </c>
      <c r="E27" s="25">
        <v>69.38</v>
      </c>
      <c r="F27" s="58">
        <f>E27/30</f>
        <v>2.3126666666666664</v>
      </c>
      <c r="G27" s="25">
        <v>27.76</v>
      </c>
      <c r="H27" s="23">
        <f>G27/30</f>
        <v>0.92533333333333334</v>
      </c>
      <c r="I27" s="22"/>
      <c r="J27" s="22"/>
      <c r="K27" s="15">
        <f>+I27+G27+E27+C27</f>
        <v>742.43999999999994</v>
      </c>
      <c r="L27" s="15">
        <f>((C27+I27)*14)+((E27+G27)*12)+120</f>
        <v>10319.879999999999</v>
      </c>
      <c r="M27" s="22"/>
      <c r="N27" s="22">
        <v>6.7</v>
      </c>
      <c r="O27" s="22">
        <v>0.96</v>
      </c>
      <c r="P27" s="22">
        <v>0.22</v>
      </c>
      <c r="Q27" s="22">
        <f>'SERVISECURITAS 2009'!P26*0.8/100+'SERVISECURITAS 2009'!P26</f>
        <v>0.252</v>
      </c>
      <c r="R27" s="22">
        <f>('SERVISECURITAS 2009'!Q26*0.8/100)+'SERVISECURITAS 2009'!Q26</f>
        <v>8.0542425600000005</v>
      </c>
      <c r="S27" s="22">
        <f>('SERVISECURITAS 2009'!R26*0.8/100)+'SERVISECURITAS 2009'!R26</f>
        <v>13.440772800000001</v>
      </c>
      <c r="T27" s="22">
        <f>('SERVISECURITAS 2009'!S26*0.8/100)+'SERVISECURITAS 2009'!S26</f>
        <v>26.89176672</v>
      </c>
      <c r="U27" s="22">
        <v>24.66</v>
      </c>
      <c r="V27" s="22">
        <f>('SERVISECURITAS 2009'!U26*0.8/100)+'SERVISECURITAS 2009'!U26</f>
        <v>118.96361567999999</v>
      </c>
      <c r="W27" s="22">
        <f>('SERVISECURITAS 2009'!V26*0.8/100)+'SERVISECURITAS 2009'!V26</f>
        <v>102.21120000000001</v>
      </c>
      <c r="X27" s="22">
        <f>+C27*0.05</f>
        <v>32.265000000000001</v>
      </c>
      <c r="Y27" s="23">
        <f>X27/30</f>
        <v>1.0755000000000001</v>
      </c>
      <c r="Z27" s="22">
        <f>('SERVISECURITAS 2009'!Y26*0.8/100)+'SERVISECURITAS 2009'!Y26</f>
        <v>47.896168319999994</v>
      </c>
    </row>
    <row r="28" spans="1:26" ht="18" customHeight="1" x14ac:dyDescent="0.2">
      <c r="A28" s="61">
        <v>2205</v>
      </c>
      <c r="B28" s="21" t="s">
        <v>33</v>
      </c>
      <c r="C28" s="25">
        <v>645.29999999999995</v>
      </c>
      <c r="D28" s="58">
        <f t="shared" si="12"/>
        <v>21.509999999999998</v>
      </c>
      <c r="E28" s="25">
        <v>69.38</v>
      </c>
      <c r="F28" s="58">
        <f t="shared" si="13"/>
        <v>2.3126666666666664</v>
      </c>
      <c r="G28" s="25">
        <v>27.76</v>
      </c>
      <c r="H28" s="23">
        <f t="shared" si="14"/>
        <v>0.92533333333333334</v>
      </c>
      <c r="I28" s="22"/>
      <c r="J28" s="22"/>
      <c r="K28" s="15">
        <f t="shared" si="15"/>
        <v>742.43999999999994</v>
      </c>
      <c r="L28" s="15">
        <f t="shared" si="16"/>
        <v>10319.879999999999</v>
      </c>
      <c r="M28" s="22"/>
      <c r="N28" s="22">
        <v>6.7</v>
      </c>
      <c r="O28" s="22">
        <v>0.96</v>
      </c>
      <c r="P28" s="22">
        <f>('SERVISECURITAS 2009'!O26*0.8/100)+'SERVISECURITAS 2009'!O26</f>
        <v>0.22486464</v>
      </c>
      <c r="Q28" s="22">
        <f>'SERVISECURITAS 2009'!P26*0.8/100+'SERVISECURITAS 2009'!P26</f>
        <v>0.252</v>
      </c>
      <c r="R28" s="22">
        <f>('SERVISECURITAS 2009'!Q26*0.8/100)+'SERVISECURITAS 2009'!Q26</f>
        <v>8.0542425600000005</v>
      </c>
      <c r="S28" s="22">
        <f>('SERVISECURITAS 2009'!R26*0.8/100)+'SERVISECURITAS 2009'!R26</f>
        <v>13.440772800000001</v>
      </c>
      <c r="T28" s="22">
        <f>('SERVISECURITAS 2009'!S26*0.8/100)+'SERVISECURITAS 2009'!S26</f>
        <v>26.89176672</v>
      </c>
      <c r="U28" s="22">
        <v>24.66</v>
      </c>
      <c r="V28" s="22">
        <f>('SERVISECURITAS 2009'!U26*0.8/100)+'SERVISECURITAS 2009'!U26</f>
        <v>118.96361567999999</v>
      </c>
      <c r="W28" s="22">
        <f>('SERVISECURITAS 2009'!V26*0.8/100)+'SERVISECURITAS 2009'!V26</f>
        <v>102.21120000000001</v>
      </c>
      <c r="X28" s="22">
        <f t="shared" si="17"/>
        <v>32.265000000000001</v>
      </c>
      <c r="Y28" s="23">
        <f t="shared" si="18"/>
        <v>1.0755000000000001</v>
      </c>
      <c r="Z28" s="22">
        <f>('SERVISECURITAS 2009'!Y26*0.8/100)+'SERVISECURITAS 2009'!Y26</f>
        <v>47.896168319999994</v>
      </c>
    </row>
    <row r="29" spans="1:26" ht="18" customHeight="1" x14ac:dyDescent="0.2">
      <c r="A29" s="61">
        <v>2044</v>
      </c>
      <c r="B29" s="21" t="s">
        <v>34</v>
      </c>
      <c r="C29" s="25">
        <v>645.29999999999995</v>
      </c>
      <c r="D29" s="58">
        <f t="shared" si="12"/>
        <v>21.509999999999998</v>
      </c>
      <c r="E29" s="25">
        <v>69.38</v>
      </c>
      <c r="F29" s="58">
        <f t="shared" si="13"/>
        <v>2.3126666666666664</v>
      </c>
      <c r="G29" s="25">
        <v>27.76</v>
      </c>
      <c r="H29" s="23">
        <f t="shared" si="14"/>
        <v>0.92533333333333334</v>
      </c>
      <c r="I29" s="22"/>
      <c r="J29" s="22"/>
      <c r="K29" s="15">
        <f t="shared" si="15"/>
        <v>742.43999999999994</v>
      </c>
      <c r="L29" s="15">
        <f t="shared" si="16"/>
        <v>10319.879999999999</v>
      </c>
      <c r="M29" s="22"/>
      <c r="N29" s="22">
        <v>6.7</v>
      </c>
      <c r="O29" s="22">
        <v>0.96</v>
      </c>
      <c r="P29" s="22">
        <f>('SERVISECURITAS 2009'!O27*0.8/100)+'SERVISECURITAS 2009'!O27</f>
        <v>0.22486464</v>
      </c>
      <c r="Q29" s="22">
        <f>'SERVISECURITAS 2009'!P27*0.8/100+'SERVISECURITAS 2009'!P27</f>
        <v>0.252</v>
      </c>
      <c r="R29" s="22">
        <f>('SERVISECURITAS 2009'!Q27*0.8/100)+'SERVISECURITAS 2009'!Q27</f>
        <v>8.0542425600000005</v>
      </c>
      <c r="S29" s="22">
        <f>('SERVISECURITAS 2009'!R27*0.8/100)+'SERVISECURITAS 2009'!R27</f>
        <v>13.440772800000001</v>
      </c>
      <c r="T29" s="22">
        <f>('SERVISECURITAS 2009'!S27*0.8/100)+'SERVISECURITAS 2009'!S27</f>
        <v>26.89176672</v>
      </c>
      <c r="U29" s="22">
        <v>24.66</v>
      </c>
      <c r="V29" s="22">
        <f>('SERVISECURITAS 2009'!U27*0.8/100)+'SERVISECURITAS 2009'!U27</f>
        <v>118.96361567999999</v>
      </c>
      <c r="W29" s="22">
        <f>('SERVISECURITAS 2009'!V27*0.8/100)+'SERVISECURITAS 2009'!V27</f>
        <v>102.21120000000001</v>
      </c>
      <c r="X29" s="22">
        <f t="shared" si="17"/>
        <v>32.265000000000001</v>
      </c>
      <c r="Y29" s="23">
        <f t="shared" si="18"/>
        <v>1.0755000000000001</v>
      </c>
      <c r="Z29" s="22">
        <f>('SERVISECURITAS 2009'!Y27*0.8/100)+'SERVISECURITAS 2009'!Y27</f>
        <v>47.896168319999994</v>
      </c>
    </row>
    <row r="30" spans="1:26" ht="18" customHeight="1" x14ac:dyDescent="0.2">
      <c r="A30" s="61">
        <v>2048</v>
      </c>
      <c r="B30" s="21" t="s">
        <v>35</v>
      </c>
      <c r="C30" s="25">
        <v>645.29999999999995</v>
      </c>
      <c r="D30" s="58">
        <f t="shared" si="12"/>
        <v>21.509999999999998</v>
      </c>
      <c r="E30" s="25">
        <v>69.38</v>
      </c>
      <c r="F30" s="58">
        <f t="shared" si="13"/>
        <v>2.3126666666666664</v>
      </c>
      <c r="G30" s="25">
        <v>27.76</v>
      </c>
      <c r="H30" s="23">
        <f t="shared" si="14"/>
        <v>0.92533333333333334</v>
      </c>
      <c r="I30" s="22"/>
      <c r="J30" s="22"/>
      <c r="K30" s="15">
        <f t="shared" si="15"/>
        <v>742.43999999999994</v>
      </c>
      <c r="L30" s="15">
        <f t="shared" si="16"/>
        <v>10319.879999999999</v>
      </c>
      <c r="M30" s="22"/>
      <c r="N30" s="22">
        <v>6.7</v>
      </c>
      <c r="O30" s="22">
        <v>0.96</v>
      </c>
      <c r="P30" s="22">
        <f>('SERVISECURITAS 2009'!O28*0.8/100)+'SERVISECURITAS 2009'!O28</f>
        <v>0.22486464</v>
      </c>
      <c r="Q30" s="22">
        <f>'SERVISECURITAS 2009'!P28*0.8/100+'SERVISECURITAS 2009'!P28</f>
        <v>0.252</v>
      </c>
      <c r="R30" s="22">
        <f>('SERVISECURITAS 2009'!Q28*0.8/100)+'SERVISECURITAS 2009'!Q28</f>
        <v>8.0542425600000005</v>
      </c>
      <c r="S30" s="22">
        <f>('SERVISECURITAS 2009'!R28*0.8/100)+'SERVISECURITAS 2009'!R28</f>
        <v>13.440772800000001</v>
      </c>
      <c r="T30" s="22">
        <f>('SERVISECURITAS 2009'!S28*0.8/100)+'SERVISECURITAS 2009'!S28</f>
        <v>26.89176672</v>
      </c>
      <c r="U30" s="22">
        <v>24.66</v>
      </c>
      <c r="V30" s="22">
        <f>('SERVISECURITAS 2009'!U28*0.8/100)+'SERVISECURITAS 2009'!U28</f>
        <v>118.96361567999999</v>
      </c>
      <c r="W30" s="22">
        <f>('SERVISECURITAS 2009'!V28*0.8/100)+'SERVISECURITAS 2009'!V28</f>
        <v>102.21120000000001</v>
      </c>
      <c r="X30" s="22">
        <f t="shared" si="17"/>
        <v>32.265000000000001</v>
      </c>
      <c r="Y30" s="23">
        <f t="shared" si="18"/>
        <v>1.0755000000000001</v>
      </c>
      <c r="Z30" s="22">
        <f>('SERVISECURITAS 2009'!Y28*0.8/100)+'SERVISECURITAS 2009'!Y28</f>
        <v>47.896168319999994</v>
      </c>
    </row>
    <row r="31" spans="1:26" ht="18" customHeight="1" x14ac:dyDescent="0.2">
      <c r="A31" s="61">
        <v>2043</v>
      </c>
      <c r="B31" s="21" t="s">
        <v>36</v>
      </c>
      <c r="C31" s="25">
        <v>645.29999999999995</v>
      </c>
      <c r="D31" s="58">
        <f>C31/30</f>
        <v>21.509999999999998</v>
      </c>
      <c r="E31" s="25">
        <v>69.38</v>
      </c>
      <c r="F31" s="58">
        <f>E31/30</f>
        <v>2.3126666666666664</v>
      </c>
      <c r="G31" s="25">
        <v>27.76</v>
      </c>
      <c r="H31" s="23">
        <f>G31/30</f>
        <v>0.92533333333333334</v>
      </c>
      <c r="I31" s="22"/>
      <c r="J31" s="22"/>
      <c r="K31" s="15">
        <f>+I31+G31+E31+C31</f>
        <v>742.43999999999994</v>
      </c>
      <c r="L31" s="15">
        <f>((C31+I31)*14)+((E31+G31)*12)+120</f>
        <v>10319.879999999999</v>
      </c>
      <c r="M31" s="22"/>
      <c r="N31" s="22">
        <v>6.7</v>
      </c>
      <c r="O31" s="22">
        <v>0.96</v>
      </c>
      <c r="P31" s="22">
        <f>('SERVISECURITAS 2009'!O28*0.8/100)+'SERVISECURITAS 2009'!O28</f>
        <v>0.22486464</v>
      </c>
      <c r="Q31" s="22">
        <f>'SERVISECURITAS 2009'!P28*0.8/100+'SERVISECURITAS 2009'!P28</f>
        <v>0.252</v>
      </c>
      <c r="R31" s="22">
        <f>('SERVISECURITAS 2009'!Q28*0.8/100)+'SERVISECURITAS 2009'!Q28</f>
        <v>8.0542425600000005</v>
      </c>
      <c r="S31" s="22">
        <f>('SERVISECURITAS 2009'!R28*0.8/100)+'SERVISECURITAS 2009'!R28</f>
        <v>13.440772800000001</v>
      </c>
      <c r="T31" s="22">
        <f>('SERVISECURITAS 2009'!S28*0.8/100)+'SERVISECURITAS 2009'!S28</f>
        <v>26.89176672</v>
      </c>
      <c r="U31" s="22">
        <v>24.66</v>
      </c>
      <c r="V31" s="22">
        <f>('SERVISECURITAS 2009'!U28*0.8/100)+'SERVISECURITAS 2009'!U28</f>
        <v>118.96361567999999</v>
      </c>
      <c r="W31" s="22">
        <f>('SERVISECURITAS 2009'!V28*0.8/100)+'SERVISECURITAS 2009'!V28</f>
        <v>102.21120000000001</v>
      </c>
      <c r="X31" s="22">
        <f>+C31*0.05</f>
        <v>32.265000000000001</v>
      </c>
      <c r="Y31" s="23">
        <f>X31/30</f>
        <v>1.0755000000000001</v>
      </c>
      <c r="Z31" s="22">
        <f>('SERVISECURITAS 2009'!Y28*0.8/100)+'SERVISECURITAS 2009'!Y28</f>
        <v>47.896168319999994</v>
      </c>
    </row>
    <row r="32" spans="1:26" ht="18" customHeight="1" x14ac:dyDescent="0.2">
      <c r="A32" s="61">
        <v>2045</v>
      </c>
      <c r="B32" s="21" t="s">
        <v>64</v>
      </c>
      <c r="C32" s="25">
        <v>645.29999999999995</v>
      </c>
      <c r="D32" s="58">
        <f t="shared" si="12"/>
        <v>21.509999999999998</v>
      </c>
      <c r="E32" s="25">
        <v>69.38</v>
      </c>
      <c r="F32" s="58">
        <f t="shared" si="13"/>
        <v>2.3126666666666664</v>
      </c>
      <c r="G32" s="25">
        <v>27.76</v>
      </c>
      <c r="H32" s="23">
        <f t="shared" si="14"/>
        <v>0.92533333333333334</v>
      </c>
      <c r="I32" s="22"/>
      <c r="J32" s="22"/>
      <c r="K32" s="15">
        <f t="shared" si="15"/>
        <v>742.43999999999994</v>
      </c>
      <c r="L32" s="15">
        <f t="shared" si="16"/>
        <v>10319.879999999999</v>
      </c>
      <c r="M32" s="22"/>
      <c r="N32" s="22">
        <v>6.7</v>
      </c>
      <c r="O32" s="22">
        <v>0.96</v>
      </c>
      <c r="P32" s="22">
        <f>('SERVISECURITAS 2009'!O29*0.8/100)+'SERVISECURITAS 2009'!O29</f>
        <v>0.22486464</v>
      </c>
      <c r="Q32" s="22">
        <f>'SERVISECURITAS 2009'!P29*0.8/100+'SERVISECURITAS 2009'!P29</f>
        <v>0.252</v>
      </c>
      <c r="R32" s="22">
        <f>('SERVISECURITAS 2009'!Q29*0.8/100)+'SERVISECURITAS 2009'!Q29</f>
        <v>8.0542425600000005</v>
      </c>
      <c r="S32" s="22">
        <f>('SERVISECURITAS 2009'!R29*0.8/100)+'SERVISECURITAS 2009'!R29</f>
        <v>13.440772800000001</v>
      </c>
      <c r="T32" s="22">
        <f>('SERVISECURITAS 2009'!S29*0.8/100)+'SERVISECURITAS 2009'!S29</f>
        <v>26.89176672</v>
      </c>
      <c r="U32" s="22">
        <v>24.66</v>
      </c>
      <c r="V32" s="22">
        <f>('SERVISECURITAS 2009'!U29*0.8/100)+'SERVISECURITAS 2009'!U29</f>
        <v>118.96361567999999</v>
      </c>
      <c r="W32" s="22">
        <f>('SERVISECURITAS 2009'!V29*0.8/100)+'SERVISECURITAS 2009'!V29</f>
        <v>102.21120000000001</v>
      </c>
      <c r="X32" s="22">
        <f t="shared" si="17"/>
        <v>32.265000000000001</v>
      </c>
      <c r="Y32" s="23">
        <f t="shared" si="18"/>
        <v>1.0755000000000001</v>
      </c>
      <c r="Z32" s="22">
        <f>('SERVISECURITAS 2009'!Y29*0.8/100)+'SERVISECURITAS 2009'!Y29</f>
        <v>47.896168319999994</v>
      </c>
    </row>
    <row r="33" spans="1:26" ht="18" customHeight="1" x14ac:dyDescent="0.2">
      <c r="A33" s="61">
        <v>2060</v>
      </c>
      <c r="B33" s="21" t="s">
        <v>50</v>
      </c>
      <c r="C33" s="25">
        <v>645.29999999999995</v>
      </c>
      <c r="D33" s="58">
        <f t="shared" si="12"/>
        <v>21.509999999999998</v>
      </c>
      <c r="E33" s="25">
        <v>69.38</v>
      </c>
      <c r="F33" s="58">
        <f t="shared" si="13"/>
        <v>2.3126666666666664</v>
      </c>
      <c r="G33" s="25">
        <v>27.76</v>
      </c>
      <c r="H33" s="23">
        <f t="shared" si="14"/>
        <v>0.92533333333333334</v>
      </c>
      <c r="I33" s="22"/>
      <c r="J33" s="22"/>
      <c r="K33" s="15">
        <f t="shared" si="15"/>
        <v>742.43999999999994</v>
      </c>
      <c r="L33" s="15">
        <f t="shared" si="16"/>
        <v>10319.879999999999</v>
      </c>
      <c r="M33" s="22"/>
      <c r="N33" s="22">
        <v>6.7</v>
      </c>
      <c r="O33" s="22">
        <v>0.96</v>
      </c>
      <c r="P33" s="22">
        <f>('SERVISECURITAS 2009'!O30*0.8/100)+'SERVISECURITAS 2009'!O30</f>
        <v>0.22486464</v>
      </c>
      <c r="Q33" s="22">
        <f>'SERVISECURITAS 2009'!P30*0.8/100+'SERVISECURITAS 2009'!P30</f>
        <v>0.252</v>
      </c>
      <c r="R33" s="22">
        <f>('SERVISECURITAS 2009'!Q30*0.8/100)+'SERVISECURITAS 2009'!Q30</f>
        <v>8.0542425600000005</v>
      </c>
      <c r="S33" s="22">
        <f>('SERVISECURITAS 2009'!R30*0.8/100)+'SERVISECURITAS 2009'!R30</f>
        <v>13.440772800000001</v>
      </c>
      <c r="T33" s="22">
        <f>('SERVISECURITAS 2009'!S30*0.8/100)+'SERVISECURITAS 2009'!S30</f>
        <v>26.89176672</v>
      </c>
      <c r="U33" s="22">
        <v>24.66</v>
      </c>
      <c r="V33" s="22">
        <f>('SERVISECURITAS 2009'!U30*0.8/100)+'SERVISECURITAS 2009'!U30</f>
        <v>118.96361567999999</v>
      </c>
      <c r="W33" s="22">
        <f>('SERVISECURITAS 2009'!V30*0.8/100)+'SERVISECURITAS 2009'!V30</f>
        <v>102.21120000000001</v>
      </c>
      <c r="X33" s="22">
        <f t="shared" si="17"/>
        <v>32.265000000000001</v>
      </c>
      <c r="Y33" s="23">
        <f t="shared" si="18"/>
        <v>1.0755000000000001</v>
      </c>
      <c r="Z33" s="22">
        <f>('SERVISECURITAS 2009'!Y30*0.8/100)+'SERVISECURITAS 2009'!Y30</f>
        <v>47.896168319999994</v>
      </c>
    </row>
    <row r="34" spans="1:26" ht="18" customHeight="1" x14ac:dyDescent="0.2">
      <c r="A34" s="61">
        <v>2061</v>
      </c>
      <c r="B34" s="21" t="s">
        <v>51</v>
      </c>
      <c r="C34" s="25">
        <v>645.29999999999995</v>
      </c>
      <c r="D34" s="58">
        <f t="shared" si="12"/>
        <v>21.509999999999998</v>
      </c>
      <c r="E34" s="25">
        <v>69.38</v>
      </c>
      <c r="F34" s="58">
        <f t="shared" si="13"/>
        <v>2.3126666666666664</v>
      </c>
      <c r="G34" s="25">
        <v>27.76</v>
      </c>
      <c r="H34" s="23">
        <f t="shared" si="14"/>
        <v>0.92533333333333334</v>
      </c>
      <c r="I34" s="22"/>
      <c r="J34" s="22"/>
      <c r="K34" s="15">
        <f t="shared" si="15"/>
        <v>742.43999999999994</v>
      </c>
      <c r="L34" s="15">
        <f t="shared" si="16"/>
        <v>10319.879999999999</v>
      </c>
      <c r="M34" s="22"/>
      <c r="N34" s="22">
        <v>6.7</v>
      </c>
      <c r="O34" s="22">
        <v>0.96</v>
      </c>
      <c r="P34" s="22">
        <f>('SERVISECURITAS 2009'!O31*0.8/100)+'SERVISECURITAS 2009'!O31</f>
        <v>0.22486464</v>
      </c>
      <c r="Q34" s="22">
        <f>'SERVISECURITAS 2009'!P31*0.8/100+'SERVISECURITAS 2009'!P31</f>
        <v>0.252</v>
      </c>
      <c r="R34" s="22">
        <f>('SERVISECURITAS 2009'!Q31*0.8/100)+'SERVISECURITAS 2009'!Q31</f>
        <v>8.0542425600000005</v>
      </c>
      <c r="S34" s="22">
        <f>('SERVISECURITAS 2009'!R31*0.8/100)+'SERVISECURITAS 2009'!R31</f>
        <v>13.440772800000001</v>
      </c>
      <c r="T34" s="22">
        <f>('SERVISECURITAS 2009'!S31*0.8/100)+'SERVISECURITAS 2009'!S31</f>
        <v>26.89176672</v>
      </c>
      <c r="U34" s="22">
        <v>24.66</v>
      </c>
      <c r="V34" s="22">
        <f>('SERVISECURITAS 2009'!U31*0.8/100)+'SERVISECURITAS 2009'!U31</f>
        <v>118.96361567999999</v>
      </c>
      <c r="W34" s="22">
        <f>('SERVISECURITAS 2009'!V31*0.8/100)+'SERVISECURITAS 2009'!V31</f>
        <v>102.21120000000001</v>
      </c>
      <c r="X34" s="22">
        <f t="shared" si="17"/>
        <v>32.265000000000001</v>
      </c>
      <c r="Y34" s="23">
        <f t="shared" si="18"/>
        <v>1.0755000000000001</v>
      </c>
      <c r="Z34" s="22">
        <f>('SERVISECURITAS 2009'!Y31*0.8/100)+'SERVISECURITAS 2009'!Y31</f>
        <v>47.896168319999994</v>
      </c>
    </row>
    <row r="35" spans="1:26" ht="18" customHeight="1" x14ac:dyDescent="0.2">
      <c r="A35" s="61">
        <v>2046</v>
      </c>
      <c r="B35" s="21" t="s">
        <v>37</v>
      </c>
      <c r="C35" s="25">
        <v>683.9</v>
      </c>
      <c r="D35" s="58">
        <f t="shared" si="12"/>
        <v>22.796666666666667</v>
      </c>
      <c r="E35" s="25">
        <v>69.38</v>
      </c>
      <c r="F35" s="58">
        <f t="shared" si="13"/>
        <v>2.3126666666666664</v>
      </c>
      <c r="G35" s="25">
        <v>27.76</v>
      </c>
      <c r="H35" s="23">
        <f t="shared" si="14"/>
        <v>0.92533333333333334</v>
      </c>
      <c r="I35" s="22">
        <v>78.72</v>
      </c>
      <c r="J35" s="23">
        <f>I35/30</f>
        <v>2.6240000000000001</v>
      </c>
      <c r="K35" s="15">
        <f>+I35+G35+E35+C35</f>
        <v>859.76</v>
      </c>
      <c r="L35" s="15">
        <f t="shared" si="16"/>
        <v>11962.36</v>
      </c>
      <c r="M35" s="22"/>
      <c r="N35" s="22">
        <v>7.75</v>
      </c>
      <c r="O35" s="22">
        <v>1.03</v>
      </c>
      <c r="P35" s="22">
        <f>('SERVISECURITAS 2009'!O32*0.8/100)+'SERVISECURITAS 2009'!O32</f>
        <v>0.22486464</v>
      </c>
      <c r="Q35" s="22">
        <f>'SERVISECURITAS 2009'!P32*0.8/100+'SERVISECURITAS 2009'!P32</f>
        <v>0.252</v>
      </c>
      <c r="R35" s="22">
        <f>('SERVISECURITAS 2009'!Q32*0.8/100)+'SERVISECURITAS 2009'!Q32</f>
        <v>8.0542425600000005</v>
      </c>
      <c r="S35" s="22">
        <f>('SERVISECURITAS 2009'!R32*0.8/100)+'SERVISECURITAS 2009'!R32</f>
        <v>13.440772800000001</v>
      </c>
      <c r="T35" s="22">
        <f>('SERVISECURITAS 2009'!S32*0.8/100)+'SERVISECURITAS 2009'!S32</f>
        <v>26.89176672</v>
      </c>
      <c r="U35" s="22">
        <v>24.66</v>
      </c>
      <c r="V35" s="22">
        <f>('SERVISECURITAS 2009'!U32*0.8/100)+'SERVISECURITAS 2009'!U32</f>
        <v>118.96361567999999</v>
      </c>
      <c r="W35" s="22">
        <f>('SERVISECURITAS 2009'!V32*0.8/100)+'SERVISECURITAS 2009'!V32</f>
        <v>102.21120000000001</v>
      </c>
      <c r="X35" s="22">
        <f t="shared" si="17"/>
        <v>34.195</v>
      </c>
      <c r="Y35" s="23">
        <f t="shared" si="18"/>
        <v>1.1398333333333333</v>
      </c>
      <c r="Z35" s="22">
        <f>('SERVISECURITAS 2009'!Y32*0.8/100)+'SERVISECURITAS 2009'!Y32</f>
        <v>47.896168319999994</v>
      </c>
    </row>
    <row r="36" spans="1:26" ht="18" customHeight="1" x14ac:dyDescent="0.2">
      <c r="A36" s="60"/>
      <c r="B36" s="27" t="s">
        <v>38</v>
      </c>
      <c r="C36" s="28"/>
      <c r="D36" s="29"/>
      <c r="E36" s="28"/>
      <c r="F36" s="29"/>
      <c r="G36" s="28"/>
      <c r="H36" s="29"/>
      <c r="I36" s="28"/>
      <c r="J36" s="28"/>
      <c r="K36" s="45"/>
      <c r="L36" s="28"/>
      <c r="M36" s="47"/>
      <c r="N36" s="18"/>
      <c r="O36" s="22"/>
      <c r="P36" s="22"/>
      <c r="Q36" s="22"/>
      <c r="R36" s="22"/>
      <c r="S36" s="22"/>
      <c r="T36" s="22"/>
      <c r="U36" s="22"/>
      <c r="V36" s="22"/>
      <c r="W36" s="28"/>
      <c r="X36" s="22"/>
      <c r="Y36" s="30"/>
      <c r="Z36" s="22"/>
    </row>
    <row r="37" spans="1:26" ht="18" customHeight="1" x14ac:dyDescent="0.2">
      <c r="A37" s="61">
        <v>2051</v>
      </c>
      <c r="B37" s="21" t="s">
        <v>39</v>
      </c>
      <c r="C37" s="25">
        <v>649.19999999999993</v>
      </c>
      <c r="D37" s="58">
        <f>C37/30</f>
        <v>21.639999999999997</v>
      </c>
      <c r="E37" s="25">
        <v>69.38</v>
      </c>
      <c r="F37" s="23">
        <f>E37/30</f>
        <v>2.3126666666666664</v>
      </c>
      <c r="G37" s="22"/>
      <c r="H37" s="24"/>
      <c r="I37" s="22"/>
      <c r="J37" s="22"/>
      <c r="K37" s="15">
        <f>+I37+G37+E37+C37</f>
        <v>718.57999999999993</v>
      </c>
      <c r="L37" s="15">
        <f>((C37+I37)*14)+((E37+G37)*12)+120</f>
        <v>10041.359999999999</v>
      </c>
      <c r="M37" s="22"/>
      <c r="N37" s="22">
        <v>6.7</v>
      </c>
      <c r="O37" s="22">
        <v>0.99</v>
      </c>
      <c r="P37" s="22">
        <f>('SERVISECURITAS 2009'!O34*0.8/100)+'SERVISECURITAS 2009'!O34</f>
        <v>0.22486464</v>
      </c>
      <c r="Q37" s="22">
        <f>'SERVISECURITAS 2009'!P34*0.8/100+'SERVISECURITAS 2009'!P34</f>
        <v>0.252</v>
      </c>
      <c r="R37" s="22">
        <f>('SERVISECURITAS 2009'!Q34*0.8/100)+'SERVISECURITAS 2009'!Q34</f>
        <v>8.0542425600000005</v>
      </c>
      <c r="S37" s="22">
        <f>('SERVISECURITAS 2009'!R34*0.8/100)+'SERVISECURITAS 2009'!R34</f>
        <v>13.440772800000001</v>
      </c>
      <c r="T37" s="22">
        <f>('SERVISECURITAS 2009'!S34*0.8/100)+'SERVISECURITAS 2009'!S34</f>
        <v>26.89176672</v>
      </c>
      <c r="U37" s="22">
        <v>24.66</v>
      </c>
      <c r="V37" s="22">
        <f>('SERVISECURITAS 2009'!U34*0.8/100)+'SERVISECURITAS 2009'!U34</f>
        <v>118.96361567999999</v>
      </c>
      <c r="W37" s="22">
        <f>('SERVISECURITAS 2009'!V34*0.8/100)+'SERVISECURITAS 2009'!V34</f>
        <v>102.21120000000001</v>
      </c>
      <c r="X37" s="22">
        <f>+C37*0.05</f>
        <v>32.46</v>
      </c>
      <c r="Y37" s="23">
        <f>X37/30</f>
        <v>1.0820000000000001</v>
      </c>
      <c r="Z37" s="22">
        <f>('SERVISECURITAS 2009'!Y34*0.8/100)+'SERVISECURITAS 2009'!Y34</f>
        <v>47.896168319999994</v>
      </c>
    </row>
    <row r="38" spans="1:26" ht="18" customHeight="1" x14ac:dyDescent="0.2">
      <c r="A38" s="61">
        <v>2903</v>
      </c>
      <c r="B38" s="21" t="s">
        <v>40</v>
      </c>
      <c r="C38" s="25">
        <v>645.29999999999995</v>
      </c>
      <c r="D38" s="58">
        <f>C38/30</f>
        <v>21.509999999999998</v>
      </c>
      <c r="E38" s="25">
        <v>69.38</v>
      </c>
      <c r="F38" s="23">
        <f>E38/30</f>
        <v>2.3126666666666664</v>
      </c>
      <c r="G38" s="22"/>
      <c r="H38" s="24"/>
      <c r="I38" s="22"/>
      <c r="J38" s="22"/>
      <c r="K38" s="15">
        <f>+I38+G38+E38+C38</f>
        <v>714.68</v>
      </c>
      <c r="L38" s="15">
        <f>((C38+I38)*14)+((E38+G38)*12)+120</f>
        <v>9986.7599999999984</v>
      </c>
      <c r="M38" s="22"/>
      <c r="N38" s="22">
        <v>6.7</v>
      </c>
      <c r="O38" s="22">
        <v>0.94</v>
      </c>
      <c r="P38" s="22">
        <f>('SERVISECURITAS 2009'!O35*0.8/100)+'SERVISECURITAS 2009'!O35</f>
        <v>0.22486464</v>
      </c>
      <c r="Q38" s="22">
        <f>'SERVISECURITAS 2009'!P35*0.8/100+'SERVISECURITAS 2009'!P35</f>
        <v>0.252</v>
      </c>
      <c r="R38" s="22">
        <f>('SERVISECURITAS 2009'!Q35*0.8/100)+'SERVISECURITAS 2009'!Q35</f>
        <v>8.0542425600000005</v>
      </c>
      <c r="S38" s="22">
        <f>('SERVISECURITAS 2009'!R35*0.8/100)+'SERVISECURITAS 2009'!R35</f>
        <v>13.440772800000001</v>
      </c>
      <c r="T38" s="22">
        <f>('SERVISECURITAS 2009'!S35*0.8/100)+'SERVISECURITAS 2009'!S35</f>
        <v>26.89176672</v>
      </c>
      <c r="U38" s="22">
        <v>24.66</v>
      </c>
      <c r="V38" s="22">
        <f>('SERVISECURITAS 2009'!U35*0.8/100)+'SERVISECURITAS 2009'!U35</f>
        <v>118.96361567999999</v>
      </c>
      <c r="W38" s="22">
        <f>('SERVISECURITAS 2009'!V35*0.8/100)+'SERVISECURITAS 2009'!V35</f>
        <v>102.21120000000001</v>
      </c>
      <c r="X38" s="22">
        <f>+C38*0.05</f>
        <v>32.265000000000001</v>
      </c>
      <c r="Y38" s="23">
        <f>X38/30</f>
        <v>1.0755000000000001</v>
      </c>
      <c r="Z38" s="22">
        <f>('SERVISECURITAS 2009'!Y35*0.8/100)+'SERVISECURITAS 2009'!Y35</f>
        <v>47.896168319999994</v>
      </c>
    </row>
    <row r="40" spans="1:26" ht="8.25" customHeight="1" x14ac:dyDescent="0.2"/>
    <row r="41" spans="1:26" ht="23.25" customHeight="1" x14ac:dyDescent="0.2">
      <c r="B41" s="40" t="s">
        <v>61</v>
      </c>
    </row>
    <row r="42" spans="1:26" ht="15" customHeight="1" x14ac:dyDescent="0.2"/>
    <row r="43" spans="1:26" ht="15" customHeight="1" x14ac:dyDescent="0.2"/>
    <row r="44" spans="1:26" ht="15" customHeight="1" x14ac:dyDescent="0.2"/>
    <row r="45" spans="1:26" ht="15" customHeight="1" x14ac:dyDescent="0.2"/>
    <row r="47" spans="1:26" ht="21" customHeight="1" x14ac:dyDescent="0.2"/>
  </sheetData>
  <sheetProtection password="CC0B" sheet="1" objects="1" scenarios="1" selectLockedCells="1" selectUnlockedCells="1"/>
  <printOptions horizontalCentered="1"/>
  <pageMargins left="0.19685039370078741" right="0.19685039370078741" top="0.94488188976377963" bottom="0.15748031496062992" header="0.43307086614173229" footer="0"/>
  <pageSetup paperSize="9" scale="74" orientation="landscape" r:id="rId1"/>
  <headerFooter alignWithMargins="0">
    <oddHeader xml:space="preserve">&amp;C&amp;"Calibri,Negrita"&amp;12&amp;ETABLA SALARIAL CONVENIO SERVICIOS SECURITAS, S.A.  (2013)
</oddHeader>
  </headerFooter>
  <colBreaks count="1" manualBreakCount="1">
    <brk id="2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B47"/>
  <sheetViews>
    <sheetView zoomScale="110" zoomScaleNormal="110" workbookViewId="0">
      <selection activeCell="I19" sqref="I19"/>
    </sheetView>
  </sheetViews>
  <sheetFormatPr baseColWidth="10" defaultColWidth="10.140625" defaultRowHeight="12.75" x14ac:dyDescent="0.2"/>
  <cols>
    <col min="1" max="1" width="6.42578125" style="62" bestFit="1" customWidth="1"/>
    <col min="2" max="2" width="6.42578125" style="62" customWidth="1"/>
    <col min="3" max="3" width="9.7109375" style="62" bestFit="1" customWidth="1"/>
    <col min="4" max="4" width="35.85546875" customWidth="1"/>
    <col min="5" max="5" width="7.140625" bestFit="1" customWidth="1"/>
    <col min="6" max="6" width="6.7109375" hidden="1" customWidth="1"/>
    <col min="7" max="7" width="6.42578125" bestFit="1" customWidth="1"/>
    <col min="8" max="8" width="5.85546875" hidden="1" customWidth="1"/>
    <col min="9" max="9" width="5.5703125" bestFit="1" customWidth="1"/>
    <col min="10" max="10" width="6.28515625" hidden="1" customWidth="1"/>
    <col min="11" max="11" width="5.5703125" bestFit="1" customWidth="1"/>
    <col min="12" max="12" width="6.28515625" hidden="1" customWidth="1"/>
    <col min="13" max="13" width="7.140625" bestFit="1" customWidth="1"/>
    <col min="14" max="14" width="8.140625" bestFit="1" customWidth="1"/>
    <col min="15" max="15" width="0.5703125" customWidth="1"/>
    <col min="16" max="16" width="6.5703125" bestFit="1" customWidth="1"/>
    <col min="17" max="17" width="7" customWidth="1"/>
    <col min="18" max="18" width="7.85546875" style="56" bestFit="1" customWidth="1"/>
    <col min="19" max="19" width="6.85546875" style="56" customWidth="1"/>
    <col min="20" max="20" width="7" customWidth="1"/>
    <col min="21" max="21" width="7.140625" customWidth="1"/>
    <col min="22" max="22" width="9.140625" bestFit="1" customWidth="1"/>
    <col min="23" max="23" width="10.85546875" bestFit="1" customWidth="1"/>
    <col min="24" max="24" width="10" customWidth="1"/>
    <col min="25" max="25" width="7.140625" bestFit="1" customWidth="1"/>
    <col min="26" max="26" width="8.28515625" customWidth="1"/>
    <col min="27" max="27" width="8.28515625" hidden="1" customWidth="1"/>
    <col min="28" max="28" width="8.28515625" customWidth="1"/>
    <col min="29" max="29" width="1.140625" customWidth="1"/>
    <col min="30" max="30" width="6.42578125" customWidth="1"/>
    <col min="31" max="31" width="27.85546875" customWidth="1"/>
    <col min="32" max="32" width="7.85546875" bestFit="1" customWidth="1"/>
    <col min="33" max="33" width="7.85546875" customWidth="1"/>
    <col min="34" max="34" width="8.85546875" bestFit="1" customWidth="1"/>
    <col min="35" max="35" width="6.85546875" bestFit="1" customWidth="1"/>
    <col min="36" max="36" width="10.5703125" customWidth="1"/>
    <col min="37" max="37" width="7.85546875" bestFit="1" customWidth="1"/>
    <col min="38" max="38" width="8" bestFit="1" customWidth="1"/>
    <col min="39" max="39" width="9" customWidth="1"/>
    <col min="40" max="40" width="8.140625" customWidth="1"/>
    <col min="41" max="41" width="9" customWidth="1"/>
  </cols>
  <sheetData>
    <row r="1" spans="1:28" s="40" customFormat="1" ht="39.75" customHeight="1" x14ac:dyDescent="0.2">
      <c r="A1" s="64" t="s">
        <v>69</v>
      </c>
      <c r="B1" s="64" t="s">
        <v>70</v>
      </c>
      <c r="C1" s="59" t="s">
        <v>0</v>
      </c>
      <c r="D1" s="49" t="s">
        <v>1</v>
      </c>
      <c r="E1" s="41" t="s">
        <v>2</v>
      </c>
      <c r="F1" s="50">
        <v>110021</v>
      </c>
      <c r="G1" s="41" t="s">
        <v>3</v>
      </c>
      <c r="H1" s="51">
        <v>15220</v>
      </c>
      <c r="I1" s="41" t="s">
        <v>4</v>
      </c>
      <c r="J1" s="51">
        <v>116220</v>
      </c>
      <c r="K1" s="41" t="s">
        <v>5</v>
      </c>
      <c r="L1" s="50">
        <v>117520</v>
      </c>
      <c r="M1" s="52" t="s">
        <v>62</v>
      </c>
      <c r="N1" s="52" t="s">
        <v>63</v>
      </c>
      <c r="O1" s="41"/>
      <c r="P1" s="57" t="s">
        <v>55</v>
      </c>
      <c r="Q1" s="41" t="s">
        <v>56</v>
      </c>
      <c r="R1" s="41" t="s">
        <v>9</v>
      </c>
      <c r="S1" s="41" t="s">
        <v>54</v>
      </c>
      <c r="T1" s="41" t="s">
        <v>41</v>
      </c>
      <c r="U1" s="41" t="s">
        <v>42</v>
      </c>
      <c r="V1" s="41" t="s">
        <v>43</v>
      </c>
      <c r="W1" s="41" t="s">
        <v>44</v>
      </c>
      <c r="X1" s="41" t="s">
        <v>10</v>
      </c>
      <c r="Y1" s="41" t="s">
        <v>45</v>
      </c>
      <c r="Z1" s="41" t="s">
        <v>11</v>
      </c>
      <c r="AA1" s="54">
        <v>110900</v>
      </c>
      <c r="AB1" s="55" t="s">
        <v>12</v>
      </c>
    </row>
    <row r="2" spans="1:28" ht="18" customHeight="1" x14ac:dyDescent="0.2">
      <c r="A2" s="60"/>
      <c r="B2" s="60"/>
      <c r="C2" s="60"/>
      <c r="D2" s="11" t="s">
        <v>13</v>
      </c>
      <c r="E2" s="12"/>
      <c r="F2" s="13"/>
      <c r="G2" s="12"/>
      <c r="H2" s="13"/>
      <c r="I2" s="12"/>
      <c r="J2" s="13"/>
      <c r="K2" s="12"/>
      <c r="L2" s="12"/>
      <c r="M2" s="12"/>
      <c r="N2" s="12"/>
      <c r="O2" s="22"/>
      <c r="P2" s="12"/>
      <c r="Q2" s="12"/>
      <c r="R2" s="16"/>
      <c r="S2" s="16"/>
      <c r="T2" s="16"/>
      <c r="U2" s="16"/>
      <c r="V2" s="16"/>
      <c r="W2" s="16"/>
      <c r="X2" s="16"/>
      <c r="Y2" s="16"/>
      <c r="Z2" s="17"/>
      <c r="AA2" s="18"/>
      <c r="AB2" s="19"/>
    </row>
    <row r="3" spans="1:28" ht="18" customHeight="1" x14ac:dyDescent="0.2">
      <c r="A3" s="65">
        <v>1</v>
      </c>
      <c r="B3" s="65" t="s">
        <v>71</v>
      </c>
      <c r="C3" s="61">
        <v>2102</v>
      </c>
      <c r="D3" s="21" t="s">
        <v>14</v>
      </c>
      <c r="E3" s="25">
        <v>1505.5</v>
      </c>
      <c r="F3" s="63">
        <f t="shared" ref="F3:F10" si="0">E3/30</f>
        <v>50.18333333333333</v>
      </c>
      <c r="G3" s="25">
        <v>69.38</v>
      </c>
      <c r="H3" s="23">
        <f t="shared" ref="H3:H10" si="1">G3/30</f>
        <v>2.3126666666666664</v>
      </c>
      <c r="I3" s="22"/>
      <c r="J3" s="24"/>
      <c r="K3" s="22"/>
      <c r="L3" s="22"/>
      <c r="M3" s="15">
        <f t="shared" ref="M3:M10" si="2">+K3+I3+G3+E3</f>
        <v>1574.88</v>
      </c>
      <c r="N3" s="15">
        <f>((E3+K3)*14)+((G3+I3)*12)+120</f>
        <v>22029.56</v>
      </c>
      <c r="O3" s="22"/>
      <c r="P3" s="46"/>
      <c r="Q3" s="22"/>
      <c r="R3" s="22">
        <f>('SERVISECURITAS 2009'!O3*0.8/100)+'SERVISECURITAS 2009'!O3</f>
        <v>0.22486464</v>
      </c>
      <c r="S3" s="22"/>
      <c r="T3" s="22">
        <f>('SERVISECURITAS 2009'!Q3*0.8/100)+'SERVISECURITAS 2009'!Q3</f>
        <v>8.0542425600000005</v>
      </c>
      <c r="U3" s="22">
        <f>('SERVISECURITAS 2009'!R3*0.8/100)+'SERVISECURITAS 2009'!R3</f>
        <v>13.440772800000001</v>
      </c>
      <c r="V3" s="22">
        <f>('SERVISECURITAS 2009'!S3*0.8/100)+'SERVISECURITAS 2009'!S3</f>
        <v>26.89176672</v>
      </c>
      <c r="W3" s="22">
        <v>24.66</v>
      </c>
      <c r="X3" s="22">
        <f>('SERVISECURITAS 2009'!U3*0.8/100)+'SERVISECURITAS 2009'!U3</f>
        <v>118.96361567999999</v>
      </c>
      <c r="Y3" s="22">
        <f>('SERVISECURITAS 2009'!V3*0.8/100)+'SERVISECURITAS 2009'!V3</f>
        <v>102.21120000000001</v>
      </c>
      <c r="Z3" s="22">
        <f>+E3*0.05</f>
        <v>75.275000000000006</v>
      </c>
      <c r="AA3" s="58">
        <f t="shared" ref="AA3:AA10" si="3">Z3/30</f>
        <v>2.5091666666666668</v>
      </c>
      <c r="AB3" s="22">
        <f>('SERVISECURITAS 2009'!Y3*0.8/100)+'SERVISECURITAS 2009'!Y3</f>
        <v>47.896168319999994</v>
      </c>
    </row>
    <row r="4" spans="1:28" ht="18" customHeight="1" x14ac:dyDescent="0.2">
      <c r="A4" s="65">
        <v>1</v>
      </c>
      <c r="B4" s="65" t="s">
        <v>71</v>
      </c>
      <c r="C4" s="61">
        <v>2105</v>
      </c>
      <c r="D4" s="21" t="s">
        <v>15</v>
      </c>
      <c r="E4" s="25">
        <v>1431.06</v>
      </c>
      <c r="F4" s="63">
        <f t="shared" si="0"/>
        <v>47.701999999999998</v>
      </c>
      <c r="G4" s="25">
        <v>69.38</v>
      </c>
      <c r="H4" s="23">
        <f t="shared" si="1"/>
        <v>2.3126666666666664</v>
      </c>
      <c r="I4" s="22"/>
      <c r="J4" s="24"/>
      <c r="K4" s="22"/>
      <c r="L4" s="22"/>
      <c r="M4" s="15">
        <f t="shared" si="2"/>
        <v>1500.44</v>
      </c>
      <c r="N4" s="15">
        <f t="shared" ref="N4:N10" si="4">((E4+K4)*14)+((G4+I4)*12)+120</f>
        <v>20987.4</v>
      </c>
      <c r="O4" s="22"/>
      <c r="P4" s="46"/>
      <c r="Q4" s="22"/>
      <c r="R4" s="22">
        <f>('SERVISECURITAS 2009'!O4*0.8/100)+'SERVISECURITAS 2009'!O4</f>
        <v>0.22486464</v>
      </c>
      <c r="S4" s="22"/>
      <c r="T4" s="22">
        <f>('SERVISECURITAS 2009'!Q4*0.8/100)+'SERVISECURITAS 2009'!Q4</f>
        <v>8.0542425600000005</v>
      </c>
      <c r="U4" s="22">
        <f>('SERVISECURITAS 2009'!R4*0.8/100)+'SERVISECURITAS 2009'!R4</f>
        <v>13.440772800000001</v>
      </c>
      <c r="V4" s="22">
        <f>('SERVISECURITAS 2009'!S4*0.8/100)+'SERVISECURITAS 2009'!S4</f>
        <v>26.89176672</v>
      </c>
      <c r="W4" s="22">
        <v>24.66</v>
      </c>
      <c r="X4" s="22">
        <f>('SERVISECURITAS 2009'!U4*0.8/100)+'SERVISECURITAS 2009'!U4</f>
        <v>118.96361567999999</v>
      </c>
      <c r="Y4" s="22">
        <f>('SERVISECURITAS 2009'!V4*0.8/100)+'SERVISECURITAS 2009'!V4</f>
        <v>102.21120000000001</v>
      </c>
      <c r="Z4" s="22">
        <f t="shared" ref="Z4:Z10" si="5">+E4*0.05</f>
        <v>71.552999999999997</v>
      </c>
      <c r="AA4" s="58">
        <f t="shared" si="3"/>
        <v>2.3851</v>
      </c>
      <c r="AB4" s="22">
        <f>('SERVISECURITAS 2009'!Y4*0.8/100)+'SERVISECURITAS 2009'!Y4</f>
        <v>47.896168319999994</v>
      </c>
    </row>
    <row r="5" spans="1:28" ht="18" customHeight="1" x14ac:dyDescent="0.2">
      <c r="A5" s="65">
        <v>1</v>
      </c>
      <c r="B5" s="65" t="s">
        <v>71</v>
      </c>
      <c r="C5" s="61">
        <v>2109</v>
      </c>
      <c r="D5" s="21" t="s">
        <v>16</v>
      </c>
      <c r="E5" s="25">
        <v>1431.06</v>
      </c>
      <c r="F5" s="63">
        <f t="shared" si="0"/>
        <v>47.701999999999998</v>
      </c>
      <c r="G5" s="25">
        <v>69.38</v>
      </c>
      <c r="H5" s="23">
        <f t="shared" si="1"/>
        <v>2.3126666666666664</v>
      </c>
      <c r="I5" s="22"/>
      <c r="J5" s="24"/>
      <c r="K5" s="22"/>
      <c r="L5" s="22"/>
      <c r="M5" s="15">
        <f t="shared" si="2"/>
        <v>1500.44</v>
      </c>
      <c r="N5" s="15">
        <f t="shared" si="4"/>
        <v>20987.4</v>
      </c>
      <c r="O5" s="22"/>
      <c r="P5" s="46"/>
      <c r="Q5" s="22"/>
      <c r="R5" s="22">
        <f>('SERVISECURITAS 2009'!O5*0.8/100)+'SERVISECURITAS 2009'!O5</f>
        <v>0.22486464</v>
      </c>
      <c r="S5" s="22"/>
      <c r="T5" s="22">
        <f>('SERVISECURITAS 2009'!Q5*0.8/100)+'SERVISECURITAS 2009'!Q5</f>
        <v>8.0542425600000005</v>
      </c>
      <c r="U5" s="22">
        <f>('SERVISECURITAS 2009'!R5*0.8/100)+'SERVISECURITAS 2009'!R5</f>
        <v>13.440772800000001</v>
      </c>
      <c r="V5" s="22">
        <f>('SERVISECURITAS 2009'!S5*0.8/100)+'SERVISECURITAS 2009'!S5</f>
        <v>26.89176672</v>
      </c>
      <c r="W5" s="22">
        <v>24.66</v>
      </c>
      <c r="X5" s="22">
        <f>('SERVISECURITAS 2009'!U5*0.8/100)+'SERVISECURITAS 2009'!U5</f>
        <v>118.96361567999999</v>
      </c>
      <c r="Y5" s="22">
        <f>('SERVISECURITAS 2009'!V5*0.8/100)+'SERVISECURITAS 2009'!V5</f>
        <v>102.21120000000001</v>
      </c>
      <c r="Z5" s="22">
        <f t="shared" si="5"/>
        <v>71.552999999999997</v>
      </c>
      <c r="AA5" s="58">
        <f t="shared" si="3"/>
        <v>2.3851</v>
      </c>
      <c r="AB5" s="22">
        <f>('SERVISECURITAS 2009'!Y5*0.8/100)+'SERVISECURITAS 2009'!Y5</f>
        <v>47.896168319999994</v>
      </c>
    </row>
    <row r="6" spans="1:28" ht="18" customHeight="1" x14ac:dyDescent="0.2">
      <c r="A6" s="65">
        <v>1</v>
      </c>
      <c r="B6" s="65" t="s">
        <v>71</v>
      </c>
      <c r="C6" s="61">
        <v>2103</v>
      </c>
      <c r="D6" s="21" t="s">
        <v>46</v>
      </c>
      <c r="E6" s="25">
        <v>1431.06</v>
      </c>
      <c r="F6" s="63">
        <f t="shared" si="0"/>
        <v>47.701999999999998</v>
      </c>
      <c r="G6" s="25">
        <v>69.38</v>
      </c>
      <c r="H6" s="23">
        <f t="shared" si="1"/>
        <v>2.3126666666666664</v>
      </c>
      <c r="I6" s="22"/>
      <c r="J6" s="24"/>
      <c r="K6" s="22"/>
      <c r="L6" s="22"/>
      <c r="M6" s="15">
        <f t="shared" si="2"/>
        <v>1500.44</v>
      </c>
      <c r="N6" s="15">
        <f t="shared" si="4"/>
        <v>20987.4</v>
      </c>
      <c r="O6" s="22"/>
      <c r="P6" s="46"/>
      <c r="Q6" s="22"/>
      <c r="R6" s="22">
        <f>('SERVISECURITAS 2009'!O6*0.8/100)+'SERVISECURITAS 2009'!O6</f>
        <v>0.22486464</v>
      </c>
      <c r="S6" s="22"/>
      <c r="T6" s="22">
        <f>('SERVISECURITAS 2009'!Q6*0.8/100)+'SERVISECURITAS 2009'!Q6</f>
        <v>8.0542425600000005</v>
      </c>
      <c r="U6" s="22">
        <f>('SERVISECURITAS 2009'!R6*0.8/100)+'SERVISECURITAS 2009'!R6</f>
        <v>13.440772800000001</v>
      </c>
      <c r="V6" s="22">
        <f>('SERVISECURITAS 2009'!S6*0.8/100)+'SERVISECURITAS 2009'!S6</f>
        <v>26.89176672</v>
      </c>
      <c r="W6" s="22">
        <v>24.66</v>
      </c>
      <c r="X6" s="22">
        <f>('SERVISECURITAS 2009'!U6*0.8/100)+'SERVISECURITAS 2009'!U6</f>
        <v>118.96361567999999</v>
      </c>
      <c r="Y6" s="22">
        <f>('SERVISECURITAS 2009'!V6*0.8/100)+'SERVISECURITAS 2009'!V6</f>
        <v>102.21120000000001</v>
      </c>
      <c r="Z6" s="22">
        <f t="shared" si="5"/>
        <v>71.552999999999997</v>
      </c>
      <c r="AA6" s="58">
        <f t="shared" si="3"/>
        <v>2.3851</v>
      </c>
      <c r="AB6" s="22">
        <f>('SERVISECURITAS 2009'!Y6*0.8/100)+'SERVISECURITAS 2009'!Y6</f>
        <v>47.896168319999994</v>
      </c>
    </row>
    <row r="7" spans="1:28" ht="18" customHeight="1" x14ac:dyDescent="0.2">
      <c r="A7" s="65">
        <v>3</v>
      </c>
      <c r="B7" s="65" t="s">
        <v>71</v>
      </c>
      <c r="C7" s="61">
        <v>2122</v>
      </c>
      <c r="D7" s="21" t="s">
        <v>17</v>
      </c>
      <c r="E7" s="25">
        <v>1360.49</v>
      </c>
      <c r="F7" s="63">
        <f t="shared" si="0"/>
        <v>45.349666666666664</v>
      </c>
      <c r="G7" s="25">
        <v>69.38</v>
      </c>
      <c r="H7" s="23">
        <f t="shared" si="1"/>
        <v>2.3126666666666664</v>
      </c>
      <c r="I7" s="22"/>
      <c r="J7" s="24"/>
      <c r="K7" s="22"/>
      <c r="L7" s="22"/>
      <c r="M7" s="15">
        <f t="shared" si="2"/>
        <v>1429.87</v>
      </c>
      <c r="N7" s="15">
        <f t="shared" si="4"/>
        <v>19999.420000000002</v>
      </c>
      <c r="O7" s="22"/>
      <c r="P7" s="46"/>
      <c r="Q7" s="22"/>
      <c r="R7" s="22">
        <f>('SERVISECURITAS 2009'!O7*0.8/100)+'SERVISECURITAS 2009'!O7</f>
        <v>0.22486464</v>
      </c>
      <c r="S7" s="22"/>
      <c r="T7" s="22">
        <f>('SERVISECURITAS 2009'!Q7*0.8/100)+'SERVISECURITAS 2009'!Q7</f>
        <v>8.0542425600000005</v>
      </c>
      <c r="U7" s="22">
        <f>('SERVISECURITAS 2009'!R7*0.8/100)+'SERVISECURITAS 2009'!R7</f>
        <v>13.440772800000001</v>
      </c>
      <c r="V7" s="22">
        <f>('SERVISECURITAS 2009'!S7*0.8/100)+'SERVISECURITAS 2009'!S7</f>
        <v>26.89176672</v>
      </c>
      <c r="W7" s="22">
        <v>24.66</v>
      </c>
      <c r="X7" s="22">
        <f>('SERVISECURITAS 2009'!U7*0.8/100)+'SERVISECURITAS 2009'!U7</f>
        <v>118.96361567999999</v>
      </c>
      <c r="Y7" s="22">
        <f>('SERVISECURITAS 2009'!V7*0.8/100)+'SERVISECURITAS 2009'!V7</f>
        <v>102.21120000000001</v>
      </c>
      <c r="Z7" s="22">
        <f t="shared" si="5"/>
        <v>68.024500000000003</v>
      </c>
      <c r="AA7" s="58">
        <f t="shared" si="3"/>
        <v>2.2674833333333333</v>
      </c>
      <c r="AB7" s="22">
        <f>('SERVISECURITAS 2009'!Y7*0.8/100)+'SERVISECURITAS 2009'!Y7</f>
        <v>47.896168319999994</v>
      </c>
    </row>
    <row r="8" spans="1:28" ht="18" customHeight="1" x14ac:dyDescent="0.2">
      <c r="A8" s="65">
        <v>1</v>
      </c>
      <c r="B8" s="65" t="s">
        <v>71</v>
      </c>
      <c r="C8" s="61">
        <v>2126</v>
      </c>
      <c r="D8" s="21" t="s">
        <v>47</v>
      </c>
      <c r="E8" s="25">
        <v>1360.49</v>
      </c>
      <c r="F8" s="63">
        <f t="shared" si="0"/>
        <v>45.349666666666664</v>
      </c>
      <c r="G8" s="25">
        <v>69.38</v>
      </c>
      <c r="H8" s="23">
        <f t="shared" si="1"/>
        <v>2.3126666666666664</v>
      </c>
      <c r="I8" s="22"/>
      <c r="J8" s="24"/>
      <c r="K8" s="22"/>
      <c r="L8" s="22"/>
      <c r="M8" s="15">
        <f t="shared" si="2"/>
        <v>1429.87</v>
      </c>
      <c r="N8" s="15">
        <f t="shared" si="4"/>
        <v>19999.420000000002</v>
      </c>
      <c r="O8" s="22"/>
      <c r="P8" s="46"/>
      <c r="Q8" s="22"/>
      <c r="R8" s="22">
        <f>('SERVISECURITAS 2009'!O8*0.8/100)+'SERVISECURITAS 2009'!O8</f>
        <v>0.22486464</v>
      </c>
      <c r="S8" s="22"/>
      <c r="T8" s="22">
        <f>('SERVISECURITAS 2009'!Q8*0.8/100)+'SERVISECURITAS 2009'!Q8</f>
        <v>8.0542425600000005</v>
      </c>
      <c r="U8" s="22">
        <f>('SERVISECURITAS 2009'!R8*0.8/100)+'SERVISECURITAS 2009'!R8</f>
        <v>13.440772800000001</v>
      </c>
      <c r="V8" s="22">
        <f>('SERVISECURITAS 2009'!S8*0.8/100)+'SERVISECURITAS 2009'!S8</f>
        <v>26.89176672</v>
      </c>
      <c r="W8" s="22">
        <v>24.66</v>
      </c>
      <c r="X8" s="22">
        <f>('SERVISECURITAS 2009'!U8*0.8/100)+'SERVISECURITAS 2009'!U8</f>
        <v>118.96361567999999</v>
      </c>
      <c r="Y8" s="22">
        <f>('SERVISECURITAS 2009'!V8*0.8/100)+'SERVISECURITAS 2009'!V8</f>
        <v>102.21120000000001</v>
      </c>
      <c r="Z8" s="22">
        <f t="shared" si="5"/>
        <v>68.024500000000003</v>
      </c>
      <c r="AA8" s="58">
        <f t="shared" si="3"/>
        <v>2.2674833333333333</v>
      </c>
      <c r="AB8" s="22">
        <f>('SERVISECURITAS 2009'!Y8*0.8/100)+'SERVISECURITAS 2009'!Y8</f>
        <v>47.896168319999994</v>
      </c>
    </row>
    <row r="9" spans="1:28" ht="18" customHeight="1" x14ac:dyDescent="0.2">
      <c r="A9" s="65">
        <v>1</v>
      </c>
      <c r="B9" s="65" t="s">
        <v>71</v>
      </c>
      <c r="C9" s="61">
        <v>2113</v>
      </c>
      <c r="D9" s="21" t="s">
        <v>18</v>
      </c>
      <c r="E9" s="25">
        <v>1360.49</v>
      </c>
      <c r="F9" s="63">
        <f t="shared" si="0"/>
        <v>45.349666666666664</v>
      </c>
      <c r="G9" s="25">
        <v>69.38</v>
      </c>
      <c r="H9" s="23">
        <f t="shared" si="1"/>
        <v>2.3126666666666664</v>
      </c>
      <c r="I9" s="22"/>
      <c r="J9" s="24"/>
      <c r="K9" s="22"/>
      <c r="L9" s="22"/>
      <c r="M9" s="15">
        <f t="shared" si="2"/>
        <v>1429.87</v>
      </c>
      <c r="N9" s="15">
        <f t="shared" si="4"/>
        <v>19999.420000000002</v>
      </c>
      <c r="O9" s="22"/>
      <c r="P9" s="46"/>
      <c r="Q9" s="22"/>
      <c r="R9" s="22">
        <f>('SERVISECURITAS 2009'!O9*0.8/100)+'SERVISECURITAS 2009'!O9</f>
        <v>0.22486464</v>
      </c>
      <c r="S9" s="22"/>
      <c r="T9" s="22">
        <f>('SERVISECURITAS 2009'!Q9*0.8/100)+'SERVISECURITAS 2009'!Q9</f>
        <v>8.0542425600000005</v>
      </c>
      <c r="U9" s="22">
        <f>('SERVISECURITAS 2009'!R9*0.8/100)+'SERVISECURITAS 2009'!R9</f>
        <v>13.440772800000001</v>
      </c>
      <c r="V9" s="22">
        <f>('SERVISECURITAS 2009'!S9*0.8/100)+'SERVISECURITAS 2009'!S9</f>
        <v>26.89176672</v>
      </c>
      <c r="W9" s="22">
        <v>24.66</v>
      </c>
      <c r="X9" s="22">
        <f>('SERVISECURITAS 2009'!U9*0.8/100)+'SERVISECURITAS 2009'!U9</f>
        <v>118.96361567999999</v>
      </c>
      <c r="Y9" s="22">
        <f>('SERVISECURITAS 2009'!V9*0.8/100)+'SERVISECURITAS 2009'!V9</f>
        <v>102.21120000000001</v>
      </c>
      <c r="Z9" s="22">
        <f t="shared" si="5"/>
        <v>68.024500000000003</v>
      </c>
      <c r="AA9" s="58">
        <f t="shared" si="3"/>
        <v>2.2674833333333333</v>
      </c>
      <c r="AB9" s="22">
        <f>('SERVISECURITAS 2009'!Y9*0.8/100)+'SERVISECURITAS 2009'!Y9</f>
        <v>47.896168319999994</v>
      </c>
    </row>
    <row r="10" spans="1:28" ht="18" customHeight="1" x14ac:dyDescent="0.2">
      <c r="A10" s="65">
        <v>2</v>
      </c>
      <c r="B10" s="65" t="s">
        <v>71</v>
      </c>
      <c r="C10" s="61">
        <v>2114</v>
      </c>
      <c r="D10" s="21" t="s">
        <v>19</v>
      </c>
      <c r="E10" s="25">
        <v>1293.48</v>
      </c>
      <c r="F10" s="63">
        <f t="shared" si="0"/>
        <v>43.116</v>
      </c>
      <c r="G10" s="25">
        <v>69.38</v>
      </c>
      <c r="H10" s="23">
        <f t="shared" si="1"/>
        <v>2.3126666666666664</v>
      </c>
      <c r="I10" s="22"/>
      <c r="J10" s="24"/>
      <c r="K10" s="22"/>
      <c r="L10" s="22"/>
      <c r="M10" s="15">
        <f t="shared" si="2"/>
        <v>1362.8600000000001</v>
      </c>
      <c r="N10" s="15">
        <f t="shared" si="4"/>
        <v>19061.280000000002</v>
      </c>
      <c r="O10" s="22"/>
      <c r="P10" s="46"/>
      <c r="Q10" s="22"/>
      <c r="R10" s="22">
        <f>('SERVISECURITAS 2009'!O10*0.8/100)+'SERVISECURITAS 2009'!O10</f>
        <v>0.22486464</v>
      </c>
      <c r="S10" s="22"/>
      <c r="T10" s="22">
        <f>('SERVISECURITAS 2009'!Q10*0.8/100)+'SERVISECURITAS 2009'!Q10</f>
        <v>8.0542425600000005</v>
      </c>
      <c r="U10" s="22">
        <f>('SERVISECURITAS 2009'!R10*0.8/100)+'SERVISECURITAS 2009'!R10</f>
        <v>13.440772800000001</v>
      </c>
      <c r="V10" s="22">
        <f>('SERVISECURITAS 2009'!S10*0.8/100)+'SERVISECURITAS 2009'!S10</f>
        <v>26.89176672</v>
      </c>
      <c r="W10" s="22">
        <v>24.66</v>
      </c>
      <c r="X10" s="22">
        <f>('SERVISECURITAS 2009'!U10*0.8/100)+'SERVISECURITAS 2009'!U10</f>
        <v>118.96361567999999</v>
      </c>
      <c r="Y10" s="22">
        <f>('SERVISECURITAS 2009'!V10*0.8/100)+'SERVISECURITAS 2009'!V10</f>
        <v>102.21120000000001</v>
      </c>
      <c r="Z10" s="22">
        <f t="shared" si="5"/>
        <v>64.674000000000007</v>
      </c>
      <c r="AA10" s="58">
        <f t="shared" si="3"/>
        <v>2.1558000000000002</v>
      </c>
      <c r="AB10" s="22">
        <f>('SERVISECURITAS 2009'!Y10*0.8/100)+'SERVISECURITAS 2009'!Y10</f>
        <v>47.896168319999994</v>
      </c>
    </row>
    <row r="11" spans="1:28" ht="18" customHeight="1" x14ac:dyDescent="0.2">
      <c r="A11" s="66"/>
      <c r="B11" s="66"/>
      <c r="C11" s="60"/>
      <c r="D11" s="27" t="s">
        <v>20</v>
      </c>
      <c r="E11" s="28"/>
      <c r="F11" s="29"/>
      <c r="G11" s="28"/>
      <c r="H11" s="29"/>
      <c r="I11" s="12"/>
      <c r="J11" s="13"/>
      <c r="K11" s="12"/>
      <c r="L11" s="12"/>
      <c r="M11" s="12"/>
      <c r="N11" s="28"/>
      <c r="O11" s="47"/>
      <c r="P11" s="18"/>
      <c r="Q11" s="22"/>
      <c r="R11" s="22"/>
      <c r="S11" s="22"/>
      <c r="T11" s="22"/>
      <c r="U11" s="22"/>
      <c r="V11" s="22"/>
      <c r="W11" s="22"/>
      <c r="X11" s="22"/>
      <c r="Y11" s="28"/>
      <c r="Z11" s="22"/>
      <c r="AA11" s="30"/>
      <c r="AB11" s="22"/>
    </row>
    <row r="12" spans="1:28" ht="18" customHeight="1" x14ac:dyDescent="0.2">
      <c r="A12" s="65">
        <v>3</v>
      </c>
      <c r="B12" s="65" t="s">
        <v>71</v>
      </c>
      <c r="C12" s="61">
        <v>2201</v>
      </c>
      <c r="D12" s="21" t="s">
        <v>21</v>
      </c>
      <c r="E12" s="25">
        <v>1300.26</v>
      </c>
      <c r="F12" s="63">
        <f t="shared" ref="F12:F21" si="6">E12/30</f>
        <v>43.341999999999999</v>
      </c>
      <c r="G12" s="25">
        <v>69.38</v>
      </c>
      <c r="H12" s="23">
        <f t="shared" ref="H12:H21" si="7">G12/30</f>
        <v>2.3126666666666664</v>
      </c>
      <c r="I12" s="22"/>
      <c r="J12" s="24"/>
      <c r="K12" s="22"/>
      <c r="L12" s="22"/>
      <c r="M12" s="15">
        <f t="shared" ref="M12:M21" si="8">+K12+I12+G12+E12</f>
        <v>1369.6399999999999</v>
      </c>
      <c r="N12" s="15">
        <f t="shared" ref="N12:N21" si="9">((E12+K12)*14)+((G12+I12)*12)+120</f>
        <v>19156.2</v>
      </c>
      <c r="O12" s="22"/>
      <c r="P12" s="22">
        <v>15.18</v>
      </c>
      <c r="Q12" s="22">
        <v>2.02</v>
      </c>
      <c r="R12" s="22">
        <f>('SERVISECURITAS 2009'!O12*0.8/100)+'SERVISECURITAS 2009'!O12</f>
        <v>0.22486464</v>
      </c>
      <c r="S12" s="22">
        <f>'SERVISECURITAS 2009'!P12*0.8/100+'SERVISECURITAS 2009'!P12</f>
        <v>0.252</v>
      </c>
      <c r="T12" s="22">
        <f>('SERVISECURITAS 2009'!Q12*0.8/100)+'SERVISECURITAS 2009'!Q12</f>
        <v>8.0542425600000005</v>
      </c>
      <c r="U12" s="22">
        <f>('SERVISECURITAS 2009'!R12*0.8/100)+'SERVISECURITAS 2009'!R12</f>
        <v>13.440772800000001</v>
      </c>
      <c r="V12" s="22">
        <f>('SERVISECURITAS 2009'!S12*0.8/100)+'SERVISECURITAS 2009'!S12</f>
        <v>26.89176672</v>
      </c>
      <c r="W12" s="22">
        <v>24.66</v>
      </c>
      <c r="X12" s="22">
        <f>('SERVISECURITAS 2009'!U12*0.8/100)+'SERVISECURITAS 2009'!U12</f>
        <v>118.96361567999999</v>
      </c>
      <c r="Y12" s="22">
        <f>('SERVISECURITAS 2009'!V12*0.8/100)+'SERVISECURITAS 2009'!V12</f>
        <v>102.21120000000001</v>
      </c>
      <c r="Z12" s="22">
        <f t="shared" ref="Z12:Z21" si="10">+E12*0.05</f>
        <v>65.013000000000005</v>
      </c>
      <c r="AA12" s="58">
        <f t="shared" ref="AA12:AA21" si="11">Z12/30</f>
        <v>2.1671</v>
      </c>
      <c r="AB12" s="22">
        <f>('SERVISECURITAS 2009'!Y12*0.8/100)+'SERVISECURITAS 2009'!Y12</f>
        <v>47.896168319999994</v>
      </c>
    </row>
    <row r="13" spans="1:28" ht="18" customHeight="1" x14ac:dyDescent="0.2">
      <c r="A13" s="65">
        <v>3</v>
      </c>
      <c r="B13" s="65" t="s">
        <v>72</v>
      </c>
      <c r="C13" s="61">
        <v>2120</v>
      </c>
      <c r="D13" s="21" t="s">
        <v>48</v>
      </c>
      <c r="E13" s="25">
        <v>1300.26</v>
      </c>
      <c r="F13" s="63">
        <f t="shared" si="6"/>
        <v>43.341999999999999</v>
      </c>
      <c r="G13" s="25">
        <v>69.38</v>
      </c>
      <c r="H13" s="23">
        <f t="shared" si="7"/>
        <v>2.3126666666666664</v>
      </c>
      <c r="I13" s="22"/>
      <c r="J13" s="24"/>
      <c r="K13" s="22"/>
      <c r="L13" s="22"/>
      <c r="M13" s="15">
        <f t="shared" si="8"/>
        <v>1369.6399999999999</v>
      </c>
      <c r="N13" s="15">
        <f t="shared" si="9"/>
        <v>19156.2</v>
      </c>
      <c r="O13" s="22"/>
      <c r="P13" s="22">
        <v>15.18</v>
      </c>
      <c r="Q13" s="22">
        <v>2.02</v>
      </c>
      <c r="R13" s="22">
        <f>('SERVISECURITAS 2009'!O13*0.8/100)+'SERVISECURITAS 2009'!O13</f>
        <v>0.22486464</v>
      </c>
      <c r="S13" s="22">
        <f>'SERVISECURITAS 2009'!P13*0.8/100+'SERVISECURITAS 2009'!P13</f>
        <v>0.252</v>
      </c>
      <c r="T13" s="22">
        <f>('SERVISECURITAS 2009'!Q13*0.8/100)+'SERVISECURITAS 2009'!Q13</f>
        <v>8.0542425600000005</v>
      </c>
      <c r="U13" s="22">
        <f>('SERVISECURITAS 2009'!R13*0.8/100)+'SERVISECURITAS 2009'!R13</f>
        <v>13.440772800000001</v>
      </c>
      <c r="V13" s="22">
        <f>('SERVISECURITAS 2009'!S13*0.8/100)+'SERVISECURITAS 2009'!S13</f>
        <v>26.89176672</v>
      </c>
      <c r="W13" s="22">
        <v>24.66</v>
      </c>
      <c r="X13" s="22">
        <f>('SERVISECURITAS 2009'!U13*0.8/100)+'SERVISECURITAS 2009'!U13</f>
        <v>118.96361567999999</v>
      </c>
      <c r="Y13" s="22">
        <f>('SERVISECURITAS 2009'!V13*0.8/100)+'SERVISECURITAS 2009'!V13</f>
        <v>102.21120000000001</v>
      </c>
      <c r="Z13" s="22">
        <f t="shared" si="10"/>
        <v>65.013000000000005</v>
      </c>
      <c r="AA13" s="58">
        <f t="shared" si="11"/>
        <v>2.1671</v>
      </c>
      <c r="AB13" s="22">
        <f>('SERVISECURITAS 2009'!Y13*0.8/100)+'SERVISECURITAS 2009'!Y13</f>
        <v>47.896168319999994</v>
      </c>
    </row>
    <row r="14" spans="1:28" ht="18" customHeight="1" x14ac:dyDescent="0.2">
      <c r="A14" s="65">
        <v>5</v>
      </c>
      <c r="B14" s="65" t="s">
        <v>72</v>
      </c>
      <c r="C14" s="61">
        <v>2207</v>
      </c>
      <c r="D14" s="21" t="s">
        <v>49</v>
      </c>
      <c r="E14" s="25">
        <v>966.21999999999991</v>
      </c>
      <c r="F14" s="63">
        <f t="shared" si="6"/>
        <v>32.207333333333331</v>
      </c>
      <c r="G14" s="25">
        <v>69.38</v>
      </c>
      <c r="H14" s="23">
        <f t="shared" si="7"/>
        <v>2.3126666666666664</v>
      </c>
      <c r="I14" s="22"/>
      <c r="J14" s="24"/>
      <c r="K14" s="22"/>
      <c r="L14" s="22"/>
      <c r="M14" s="15">
        <f t="shared" si="8"/>
        <v>1035.5999999999999</v>
      </c>
      <c r="N14" s="15">
        <f t="shared" si="9"/>
        <v>14479.639999999998</v>
      </c>
      <c r="O14" s="22"/>
      <c r="P14" s="22">
        <v>11.24</v>
      </c>
      <c r="Q14" s="22">
        <v>1.49</v>
      </c>
      <c r="R14" s="22">
        <f>('SERVISECURITAS 2009'!O14*0.8/100)+'SERVISECURITAS 2009'!O14</f>
        <v>0.22486464</v>
      </c>
      <c r="S14" s="22">
        <f>'SERVISECURITAS 2009'!P14*0.8/100+'SERVISECURITAS 2009'!P14</f>
        <v>0.252</v>
      </c>
      <c r="T14" s="22">
        <f>('SERVISECURITAS 2009'!Q14*0.8/100)+'SERVISECURITAS 2009'!Q14</f>
        <v>8.0542425600000005</v>
      </c>
      <c r="U14" s="22">
        <f>('SERVISECURITAS 2009'!R14*0.8/100)+'SERVISECURITAS 2009'!R14</f>
        <v>13.440772800000001</v>
      </c>
      <c r="V14" s="22">
        <f>('SERVISECURITAS 2009'!S14*0.8/100)+'SERVISECURITAS 2009'!S14</f>
        <v>26.89176672</v>
      </c>
      <c r="W14" s="22">
        <v>24.66</v>
      </c>
      <c r="X14" s="22">
        <f>('SERVISECURITAS 2009'!U14*0.8/100)+'SERVISECURITAS 2009'!U14</f>
        <v>118.96361567999999</v>
      </c>
      <c r="Y14" s="22">
        <f>('SERVISECURITAS 2009'!V14*0.8/100)+'SERVISECURITAS 2009'!V14</f>
        <v>102.21120000000001</v>
      </c>
      <c r="Z14" s="22">
        <f t="shared" si="10"/>
        <v>48.311</v>
      </c>
      <c r="AA14" s="58">
        <f t="shared" si="11"/>
        <v>1.6103666666666667</v>
      </c>
      <c r="AB14" s="22">
        <f>('SERVISECURITAS 2009'!Y14*0.8/100)+'SERVISECURITAS 2009'!Y14</f>
        <v>47.896168319999994</v>
      </c>
    </row>
    <row r="15" spans="1:28" ht="18" customHeight="1" x14ac:dyDescent="0.2">
      <c r="A15" s="65">
        <v>3</v>
      </c>
      <c r="B15" s="65" t="s">
        <v>71</v>
      </c>
      <c r="C15" s="61">
        <v>2202</v>
      </c>
      <c r="D15" s="21" t="s">
        <v>22</v>
      </c>
      <c r="E15" s="25">
        <v>1164.0999999999999</v>
      </c>
      <c r="F15" s="63">
        <f t="shared" si="6"/>
        <v>38.803333333333327</v>
      </c>
      <c r="G15" s="25">
        <v>69.38</v>
      </c>
      <c r="H15" s="23">
        <f t="shared" si="7"/>
        <v>2.3126666666666664</v>
      </c>
      <c r="I15" s="22"/>
      <c r="J15" s="24"/>
      <c r="K15" s="22"/>
      <c r="L15" s="22"/>
      <c r="M15" s="15">
        <f t="shared" si="8"/>
        <v>1233.48</v>
      </c>
      <c r="N15" s="15">
        <f t="shared" si="9"/>
        <v>17249.96</v>
      </c>
      <c r="O15" s="22"/>
      <c r="P15" s="22">
        <v>14.96</v>
      </c>
      <c r="Q15" s="22">
        <v>1.79</v>
      </c>
      <c r="R15" s="22">
        <f>('SERVISECURITAS 2009'!O15*0.8/100)+'SERVISECURITAS 2009'!O15</f>
        <v>0.22486464</v>
      </c>
      <c r="S15" s="22">
        <f>'SERVISECURITAS 2009'!P15*0.8/100+'SERVISECURITAS 2009'!P15</f>
        <v>0.252</v>
      </c>
      <c r="T15" s="22">
        <f>('SERVISECURITAS 2009'!Q15*0.8/100)+'SERVISECURITAS 2009'!Q15</f>
        <v>8.0542425600000005</v>
      </c>
      <c r="U15" s="22">
        <f>('SERVISECURITAS 2009'!R15*0.8/100)+'SERVISECURITAS 2009'!R15</f>
        <v>13.440772800000001</v>
      </c>
      <c r="V15" s="22">
        <f>('SERVISECURITAS 2009'!S15*0.8/100)+'SERVISECURITAS 2009'!S15</f>
        <v>26.89176672</v>
      </c>
      <c r="W15" s="22">
        <v>24.66</v>
      </c>
      <c r="X15" s="22">
        <f>('SERVISECURITAS 2009'!U15*0.8/100)+'SERVISECURITAS 2009'!U15</f>
        <v>118.96361567999999</v>
      </c>
      <c r="Y15" s="22">
        <f>('SERVISECURITAS 2009'!V15*0.8/100)+'SERVISECURITAS 2009'!V15</f>
        <v>102.21120000000001</v>
      </c>
      <c r="Z15" s="22">
        <f t="shared" si="10"/>
        <v>58.204999999999998</v>
      </c>
      <c r="AA15" s="58">
        <f t="shared" si="11"/>
        <v>1.9401666666666666</v>
      </c>
      <c r="AB15" s="22">
        <f>('SERVISECURITAS 2009'!Y15*0.8/100)+'SERVISECURITAS 2009'!Y15</f>
        <v>47.896168319999994</v>
      </c>
    </row>
    <row r="16" spans="1:28" ht="18" customHeight="1" x14ac:dyDescent="0.2">
      <c r="A16" s="65">
        <v>5</v>
      </c>
      <c r="B16" s="65" t="s">
        <v>71</v>
      </c>
      <c r="C16" s="61">
        <v>2203</v>
      </c>
      <c r="D16" s="21" t="s">
        <v>23</v>
      </c>
      <c r="E16" s="25">
        <v>958.16</v>
      </c>
      <c r="F16" s="63">
        <f t="shared" si="6"/>
        <v>31.938666666666666</v>
      </c>
      <c r="G16" s="25">
        <v>69.38</v>
      </c>
      <c r="H16" s="23">
        <f t="shared" si="7"/>
        <v>2.3126666666666664</v>
      </c>
      <c r="I16" s="22"/>
      <c r="J16" s="24"/>
      <c r="K16" s="22"/>
      <c r="L16" s="22"/>
      <c r="M16" s="15">
        <f t="shared" si="8"/>
        <v>1027.54</v>
      </c>
      <c r="N16" s="15">
        <f t="shared" si="9"/>
        <v>14366.8</v>
      </c>
      <c r="O16" s="22"/>
      <c r="P16" s="22">
        <v>13.57</v>
      </c>
      <c r="Q16" s="22">
        <v>1.47</v>
      </c>
      <c r="R16" s="22">
        <f>('SERVISECURITAS 2009'!O16*0.8/100)+'SERVISECURITAS 2009'!O16</f>
        <v>0.22486464</v>
      </c>
      <c r="S16" s="22">
        <f>'SERVISECURITAS 2009'!P16*0.8/100+'SERVISECURITAS 2009'!P16</f>
        <v>0.252</v>
      </c>
      <c r="T16" s="22">
        <f>('SERVISECURITAS 2009'!Q16*0.8/100)+'SERVISECURITAS 2009'!Q16</f>
        <v>8.0542425600000005</v>
      </c>
      <c r="U16" s="22">
        <f>('SERVISECURITAS 2009'!R16*0.8/100)+'SERVISECURITAS 2009'!R16</f>
        <v>13.440772800000001</v>
      </c>
      <c r="V16" s="22">
        <f>('SERVISECURITAS 2009'!S16*0.8/100)+'SERVISECURITAS 2009'!S16</f>
        <v>26.89176672</v>
      </c>
      <c r="W16" s="22">
        <v>24.66</v>
      </c>
      <c r="X16" s="22">
        <f>('SERVISECURITAS 2009'!U16*0.8/100)+'SERVISECURITAS 2009'!U16</f>
        <v>118.96361567999999</v>
      </c>
      <c r="Y16" s="22">
        <f>('SERVISECURITAS 2009'!V16*0.8/100)+'SERVISECURITAS 2009'!V16</f>
        <v>102.21120000000001</v>
      </c>
      <c r="Z16" s="22">
        <f t="shared" si="10"/>
        <v>47.908000000000001</v>
      </c>
      <c r="AA16" s="58">
        <f t="shared" si="11"/>
        <v>1.5969333333333333</v>
      </c>
      <c r="AB16" s="22">
        <f>('SERVISECURITAS 2009'!Y16*0.8/100)+'SERVISECURITAS 2009'!Y16</f>
        <v>47.896168319999994</v>
      </c>
    </row>
    <row r="17" spans="1:28" ht="18" customHeight="1" x14ac:dyDescent="0.2">
      <c r="A17" s="65">
        <v>5</v>
      </c>
      <c r="B17" s="65" t="s">
        <v>71</v>
      </c>
      <c r="C17" s="61">
        <v>2204</v>
      </c>
      <c r="D17" s="21" t="s">
        <v>24</v>
      </c>
      <c r="E17" s="25">
        <v>880.20999999999992</v>
      </c>
      <c r="F17" s="63">
        <f t="shared" si="6"/>
        <v>29.34033333333333</v>
      </c>
      <c r="G17" s="25">
        <v>69.38</v>
      </c>
      <c r="H17" s="23">
        <f t="shared" si="7"/>
        <v>2.3126666666666664</v>
      </c>
      <c r="I17" s="22"/>
      <c r="J17" s="24"/>
      <c r="K17" s="22"/>
      <c r="L17" s="22"/>
      <c r="M17" s="15">
        <f t="shared" si="8"/>
        <v>949.58999999999992</v>
      </c>
      <c r="N17" s="15">
        <f t="shared" si="9"/>
        <v>13275.499999999998</v>
      </c>
      <c r="O17" s="22"/>
      <c r="P17" s="22">
        <v>10.18</v>
      </c>
      <c r="Q17" s="22">
        <v>1.35</v>
      </c>
      <c r="R17" s="22">
        <f>('SERVISECURITAS 2009'!O17*0.8/100)+'SERVISECURITAS 2009'!O17</f>
        <v>0.22486464</v>
      </c>
      <c r="S17" s="22">
        <f>'SERVISECURITAS 2009'!P17*0.8/100+'SERVISECURITAS 2009'!P17</f>
        <v>0.252</v>
      </c>
      <c r="T17" s="22">
        <f>('SERVISECURITAS 2009'!Q17*0.8/100)+'SERVISECURITAS 2009'!Q17</f>
        <v>8.0542425600000005</v>
      </c>
      <c r="U17" s="22">
        <f>('SERVISECURITAS 2009'!R17*0.8/100)+'SERVISECURITAS 2009'!R17</f>
        <v>13.440772800000001</v>
      </c>
      <c r="V17" s="22">
        <f>('SERVISECURITAS 2009'!S17*0.8/100)+'SERVISECURITAS 2009'!S17</f>
        <v>26.89176672</v>
      </c>
      <c r="W17" s="22">
        <v>24.66</v>
      </c>
      <c r="X17" s="22">
        <f>('SERVISECURITAS 2009'!U17*0.8/100)+'SERVISECURITAS 2009'!U17</f>
        <v>118.96361567999999</v>
      </c>
      <c r="Y17" s="22">
        <f>('SERVISECURITAS 2009'!V17*0.8/100)+'SERVISECURITAS 2009'!V17</f>
        <v>102.21120000000001</v>
      </c>
      <c r="Z17" s="22">
        <f t="shared" si="10"/>
        <v>44.0105</v>
      </c>
      <c r="AA17" s="58">
        <f t="shared" si="11"/>
        <v>1.4670166666666666</v>
      </c>
      <c r="AB17" s="22">
        <f>('SERVISECURITAS 2009'!Y17*0.8/100)+'SERVISECURITAS 2009'!Y17</f>
        <v>47.896168319999994</v>
      </c>
    </row>
    <row r="18" spans="1:28" ht="18" customHeight="1" x14ac:dyDescent="0.2">
      <c r="A18" s="65">
        <v>7</v>
      </c>
      <c r="B18" s="65" t="s">
        <v>71</v>
      </c>
      <c r="C18" s="61">
        <v>2206</v>
      </c>
      <c r="D18" s="21" t="s">
        <v>25</v>
      </c>
      <c r="E18" s="25">
        <v>692.88</v>
      </c>
      <c r="F18" s="63">
        <f t="shared" si="6"/>
        <v>23.096</v>
      </c>
      <c r="G18" s="25">
        <v>69.38</v>
      </c>
      <c r="H18" s="23">
        <f t="shared" si="7"/>
        <v>2.3126666666666664</v>
      </c>
      <c r="I18" s="22"/>
      <c r="J18" s="24"/>
      <c r="K18" s="22"/>
      <c r="L18" s="22"/>
      <c r="M18" s="15">
        <f t="shared" si="8"/>
        <v>762.26</v>
      </c>
      <c r="N18" s="15">
        <f t="shared" si="9"/>
        <v>10652.88</v>
      </c>
      <c r="O18" s="22"/>
      <c r="P18" s="22">
        <v>7.98</v>
      </c>
      <c r="Q18" s="22">
        <v>1.04</v>
      </c>
      <c r="R18" s="22">
        <f>('SERVISECURITAS 2009'!O18*0.8/100)+'SERVISECURITAS 2009'!O18</f>
        <v>0.22486464</v>
      </c>
      <c r="S18" s="22">
        <v>52</v>
      </c>
      <c r="T18" s="22">
        <f>('SERVISECURITAS 2009'!Q18*0.8/100)+'SERVISECURITAS 2009'!Q18</f>
        <v>8.0542425600000005</v>
      </c>
      <c r="U18" s="22">
        <f>('SERVISECURITAS 2009'!R18*0.8/100)+'SERVISECURITAS 2009'!R18</f>
        <v>13.440772800000001</v>
      </c>
      <c r="V18" s="22">
        <f>('SERVISECURITAS 2009'!S18*0.8/100)+'SERVISECURITAS 2009'!S18</f>
        <v>26.89176672</v>
      </c>
      <c r="W18" s="22">
        <v>24.66</v>
      </c>
      <c r="X18" s="22">
        <f>('SERVISECURITAS 2009'!U18*0.8/100)+'SERVISECURITAS 2009'!U18</f>
        <v>118.96361567999999</v>
      </c>
      <c r="Y18" s="22">
        <f>('SERVISECURITAS 2009'!V18*0.8/100)+'SERVISECURITAS 2009'!V18</f>
        <v>102.21120000000001</v>
      </c>
      <c r="Z18" s="22">
        <f t="shared" si="10"/>
        <v>34.643999999999998</v>
      </c>
      <c r="AA18" s="58">
        <f t="shared" si="11"/>
        <v>1.1548</v>
      </c>
      <c r="AB18" s="22">
        <f>('SERVISECURITAS 2009'!Y18*0.8/100)+'SERVISECURITAS 2009'!Y18</f>
        <v>47.896168319999994</v>
      </c>
    </row>
    <row r="19" spans="1:28" ht="18" customHeight="1" x14ac:dyDescent="0.2">
      <c r="A19" s="65">
        <v>9</v>
      </c>
      <c r="B19" s="65" t="s">
        <v>71</v>
      </c>
      <c r="C19" s="61">
        <v>2210</v>
      </c>
      <c r="D19" s="21" t="s">
        <v>26</v>
      </c>
      <c r="E19" s="25">
        <v>648.6</v>
      </c>
      <c r="F19" s="63">
        <f t="shared" si="6"/>
        <v>21.62</v>
      </c>
      <c r="G19" s="25">
        <v>65.53</v>
      </c>
      <c r="H19" s="23">
        <f t="shared" si="7"/>
        <v>2.1843333333333335</v>
      </c>
      <c r="I19" s="22"/>
      <c r="J19" s="24"/>
      <c r="K19" s="22"/>
      <c r="L19" s="22"/>
      <c r="M19" s="15">
        <f t="shared" si="8"/>
        <v>714.13</v>
      </c>
      <c r="N19" s="15">
        <f t="shared" si="9"/>
        <v>9986.76</v>
      </c>
      <c r="O19" s="22"/>
      <c r="P19" s="22">
        <v>5.54</v>
      </c>
      <c r="Q19" s="22">
        <v>0.94</v>
      </c>
      <c r="R19" s="22">
        <f>('SERVISECURITAS 2009'!O19*0.8/100)+'SERVISECURITAS 2009'!O19</f>
        <v>0.22486464</v>
      </c>
      <c r="S19" s="22">
        <f>'SERVISECURITAS 2009'!P19*0.8/100+'SERVISECURITAS 2009'!P19</f>
        <v>0.252</v>
      </c>
      <c r="T19" s="22">
        <f>('SERVISECURITAS 2009'!Q19*0.8/100)+'SERVISECURITAS 2009'!Q19</f>
        <v>8.0542425600000005</v>
      </c>
      <c r="U19" s="22">
        <f>('SERVISECURITAS 2009'!R19*0.8/100)+'SERVISECURITAS 2009'!R19</f>
        <v>13.440772800000001</v>
      </c>
      <c r="V19" s="22">
        <f>('SERVISECURITAS 2009'!S19*0.8/100)+'SERVISECURITAS 2009'!S19</f>
        <v>26.89176672</v>
      </c>
      <c r="W19" s="22">
        <v>24.66</v>
      </c>
      <c r="X19" s="22">
        <f>('SERVISECURITAS 2009'!U19*0.8/100)+'SERVISECURITAS 2009'!U19</f>
        <v>118.96361567999999</v>
      </c>
      <c r="Y19" s="22">
        <f>('SERVISECURITAS 2009'!V19*0.8/100)+'SERVISECURITAS 2009'!V19</f>
        <v>102.21120000000001</v>
      </c>
      <c r="Z19" s="22">
        <f t="shared" si="10"/>
        <v>32.43</v>
      </c>
      <c r="AA19" s="63">
        <f t="shared" si="11"/>
        <v>1.081</v>
      </c>
      <c r="AB19" s="22">
        <f>('SERVISECURITAS 2009'!Y19*0.8/100)+'SERVISECURITAS 2009'!Y19</f>
        <v>47.896168319999994</v>
      </c>
    </row>
    <row r="20" spans="1:28" ht="18" customHeight="1" x14ac:dyDescent="0.2">
      <c r="A20" s="65">
        <v>7</v>
      </c>
      <c r="B20" s="65" t="s">
        <v>72</v>
      </c>
      <c r="C20" s="61">
        <v>2209</v>
      </c>
      <c r="D20" s="21" t="s">
        <v>60</v>
      </c>
      <c r="E20" s="25">
        <v>692.88</v>
      </c>
      <c r="F20" s="63">
        <f>E20/30</f>
        <v>23.096</v>
      </c>
      <c r="G20" s="25">
        <v>69.38</v>
      </c>
      <c r="H20" s="23">
        <f>G20/30</f>
        <v>2.3126666666666664</v>
      </c>
      <c r="I20" s="22"/>
      <c r="J20" s="24"/>
      <c r="K20" s="22"/>
      <c r="L20" s="22"/>
      <c r="M20" s="15">
        <f>+K20+I20+G20+E20</f>
        <v>762.26</v>
      </c>
      <c r="N20" s="15">
        <f>((E20+K20)*14)+((G20+I20)*12)+120</f>
        <v>10652.88</v>
      </c>
      <c r="O20" s="22"/>
      <c r="P20" s="22">
        <v>7.98</v>
      </c>
      <c r="Q20" s="22">
        <v>1.05</v>
      </c>
      <c r="R20" s="22">
        <f>('SERVISECURITAS 2009'!O19*0.8/100)+'SERVISECURITAS 2009'!O19</f>
        <v>0.22486464</v>
      </c>
      <c r="S20" s="22">
        <f>'SERVISECURITAS 2009'!P19*0.8/100+'SERVISECURITAS 2009'!P19</f>
        <v>0.252</v>
      </c>
      <c r="T20" s="22">
        <f>('SERVISECURITAS 2009'!Q19*0.8/100)+'SERVISECURITAS 2009'!Q19</f>
        <v>8.0542425600000005</v>
      </c>
      <c r="U20" s="22">
        <f>('SERVISECURITAS 2009'!R19*0.8/100)+'SERVISECURITAS 2009'!R19</f>
        <v>13.440772800000001</v>
      </c>
      <c r="V20" s="22">
        <f>('SERVISECURITAS 2009'!S19*0.8/100)+'SERVISECURITAS 2009'!S19</f>
        <v>26.89176672</v>
      </c>
      <c r="W20" s="22">
        <v>24.66</v>
      </c>
      <c r="X20" s="22">
        <f>('SERVISECURITAS 2009'!U19*0.8/100)+'SERVISECURITAS 2009'!U19</f>
        <v>118.96361567999999</v>
      </c>
      <c r="Y20" s="22">
        <f>('SERVISECURITAS 2009'!V19*0.8/100)+'SERVISECURITAS 2009'!V19</f>
        <v>102.21120000000001</v>
      </c>
      <c r="Z20" s="22">
        <f>+E20*0.05</f>
        <v>34.643999999999998</v>
      </c>
      <c r="AA20" s="58">
        <f>Z20/30</f>
        <v>1.1548</v>
      </c>
      <c r="AB20" s="22">
        <f>('SERVISECURITAS 2009'!Y19*0.8/100)+'SERVISECURITAS 2009'!Y19</f>
        <v>47.896168319999994</v>
      </c>
    </row>
    <row r="21" spans="1:28" ht="18" customHeight="1" x14ac:dyDescent="0.2">
      <c r="A21" s="65">
        <v>7</v>
      </c>
      <c r="B21" s="65" t="s">
        <v>72</v>
      </c>
      <c r="C21" s="61">
        <v>2216</v>
      </c>
      <c r="D21" s="21" t="s">
        <v>67</v>
      </c>
      <c r="E21" s="25">
        <v>692.88</v>
      </c>
      <c r="F21" s="63">
        <f t="shared" si="6"/>
        <v>23.096</v>
      </c>
      <c r="G21" s="25">
        <v>69.38</v>
      </c>
      <c r="H21" s="23">
        <f t="shared" si="7"/>
        <v>2.3126666666666664</v>
      </c>
      <c r="I21" s="22"/>
      <c r="J21" s="24"/>
      <c r="K21" s="22"/>
      <c r="L21" s="22"/>
      <c r="M21" s="15">
        <f t="shared" si="8"/>
        <v>762.26</v>
      </c>
      <c r="N21" s="15">
        <f t="shared" si="9"/>
        <v>10652.88</v>
      </c>
      <c r="O21" s="22"/>
      <c r="P21" s="22">
        <v>7.98</v>
      </c>
      <c r="Q21" s="22">
        <v>1.05</v>
      </c>
      <c r="R21" s="22">
        <f>('SERVISECURITAS 2009'!O20*0.8/100)+'SERVISECURITAS 2009'!O20</f>
        <v>0.22486464</v>
      </c>
      <c r="S21" s="22">
        <f>'SERVISECURITAS 2009'!P20*0.8/100+'SERVISECURITAS 2009'!P20</f>
        <v>0.252</v>
      </c>
      <c r="T21" s="22">
        <f>('SERVISECURITAS 2009'!Q20*0.8/100)+'SERVISECURITAS 2009'!Q20</f>
        <v>8.0542425600000005</v>
      </c>
      <c r="U21" s="22">
        <f>('SERVISECURITAS 2009'!R20*0.8/100)+'SERVISECURITAS 2009'!R20</f>
        <v>13.440772800000001</v>
      </c>
      <c r="V21" s="22">
        <f>('SERVISECURITAS 2009'!S20*0.8/100)+'SERVISECURITAS 2009'!S20</f>
        <v>26.89176672</v>
      </c>
      <c r="W21" s="22">
        <v>24.66</v>
      </c>
      <c r="X21" s="22">
        <f>('SERVISECURITAS 2009'!U20*0.8/100)+'SERVISECURITAS 2009'!U20</f>
        <v>118.96361567999999</v>
      </c>
      <c r="Y21" s="22">
        <f>('SERVISECURITAS 2009'!V20*0.8/100)+'SERVISECURITAS 2009'!V20</f>
        <v>102.21120000000001</v>
      </c>
      <c r="Z21" s="22">
        <f t="shared" si="10"/>
        <v>34.643999999999998</v>
      </c>
      <c r="AA21" s="58">
        <f t="shared" si="11"/>
        <v>1.1548</v>
      </c>
      <c r="AB21" s="22">
        <f>('SERVISECURITAS 2009'!Y20*0.8/100)+'SERVISECURITAS 2009'!Y20</f>
        <v>47.896168319999994</v>
      </c>
    </row>
    <row r="22" spans="1:28" ht="18" customHeight="1" x14ac:dyDescent="0.2">
      <c r="A22" s="66"/>
      <c r="B22" s="66"/>
      <c r="C22" s="60"/>
      <c r="D22" s="27" t="s">
        <v>28</v>
      </c>
      <c r="E22" s="28"/>
      <c r="F22" s="29"/>
      <c r="G22" s="28"/>
      <c r="H22" s="29"/>
      <c r="I22" s="28"/>
      <c r="J22" s="29"/>
      <c r="K22" s="28"/>
      <c r="L22" s="28"/>
      <c r="M22" s="12"/>
      <c r="N22" s="28"/>
      <c r="O22" s="47"/>
      <c r="P22" s="18"/>
      <c r="Q22" s="22"/>
      <c r="R22" s="22"/>
      <c r="S22" s="22"/>
      <c r="T22" s="22"/>
      <c r="U22" s="22"/>
      <c r="V22" s="22"/>
      <c r="W22" s="22"/>
      <c r="X22" s="22"/>
      <c r="Y22" s="28"/>
      <c r="Z22" s="22"/>
      <c r="AA22" s="30"/>
      <c r="AB22" s="22"/>
    </row>
    <row r="23" spans="1:28" ht="18" customHeight="1" x14ac:dyDescent="0.2">
      <c r="A23" s="65">
        <v>3</v>
      </c>
      <c r="B23" s="65" t="s">
        <v>72</v>
      </c>
      <c r="C23" s="61">
        <v>2504</v>
      </c>
      <c r="D23" s="21" t="s">
        <v>29</v>
      </c>
      <c r="E23" s="22">
        <v>1293.48</v>
      </c>
      <c r="F23" s="23">
        <f>E23/30</f>
        <v>43.116</v>
      </c>
      <c r="G23" s="22">
        <v>69.38</v>
      </c>
      <c r="H23" s="23">
        <f>G23/30</f>
        <v>2.3126666666666664</v>
      </c>
      <c r="I23" s="22"/>
      <c r="J23" s="24"/>
      <c r="K23" s="22"/>
      <c r="L23" s="22"/>
      <c r="M23" s="15">
        <f>+K23+I23+G23+E23</f>
        <v>1362.8600000000001</v>
      </c>
      <c r="N23" s="15">
        <f>((E23+K23)*14)+((G23+I23)*12)+120</f>
        <v>19061.280000000002</v>
      </c>
      <c r="O23" s="22"/>
      <c r="P23" s="22">
        <v>15</v>
      </c>
      <c r="Q23" s="22">
        <v>2.02</v>
      </c>
      <c r="R23" s="22">
        <f>('SERVISECURITAS 2009'!O22*0.8/100)+'SERVISECURITAS 2009'!O22</f>
        <v>0.22486464</v>
      </c>
      <c r="S23" s="22">
        <f>'SERVISECURITAS 2009'!P22*0.8/100+'SERVISECURITAS 2009'!P22</f>
        <v>0.252</v>
      </c>
      <c r="T23" s="22">
        <f>('SERVISECURITAS 2009'!Q22*0.8/100)+'SERVISECURITAS 2009'!Q22</f>
        <v>8.0542425600000005</v>
      </c>
      <c r="U23" s="22">
        <f>('SERVISECURITAS 2009'!R22*0.8/100)+'SERVISECURITAS 2009'!R22</f>
        <v>13.440772800000001</v>
      </c>
      <c r="V23" s="22">
        <f>('SERVISECURITAS 2009'!S22*0.8/100)+'SERVISECURITAS 2009'!S22</f>
        <v>26.89176672</v>
      </c>
      <c r="W23" s="22">
        <v>24.66</v>
      </c>
      <c r="X23" s="22">
        <f>('SERVISECURITAS 2009'!U22*0.8/100)+'SERVISECURITAS 2009'!U22</f>
        <v>118.96361567999999</v>
      </c>
      <c r="Y23" s="22">
        <f>('SERVISECURITAS 2009'!V22*0.8/100)+'SERVISECURITAS 2009'!V22</f>
        <v>102.21120000000001</v>
      </c>
      <c r="Z23" s="22">
        <f>+E23*0.05</f>
        <v>64.674000000000007</v>
      </c>
      <c r="AA23" s="58">
        <f>Z23/30</f>
        <v>2.1558000000000002</v>
      </c>
      <c r="AB23" s="22">
        <f>('SERVISECURITAS 2009'!Y22*0.8/100)+'SERVISECURITAS 2009'!Y22</f>
        <v>47.896168319999994</v>
      </c>
    </row>
    <row r="24" spans="1:28" ht="18" customHeight="1" x14ac:dyDescent="0.2">
      <c r="A24" s="65">
        <v>5</v>
      </c>
      <c r="B24" s="65" t="s">
        <v>72</v>
      </c>
      <c r="C24" s="61">
        <v>2227</v>
      </c>
      <c r="D24" s="21" t="s">
        <v>30</v>
      </c>
      <c r="E24" s="22">
        <v>958.16</v>
      </c>
      <c r="F24" s="23">
        <f>E24/30</f>
        <v>31.938666666666666</v>
      </c>
      <c r="G24" s="22">
        <v>69.38</v>
      </c>
      <c r="H24" s="23">
        <f>G24/30</f>
        <v>2.3126666666666664</v>
      </c>
      <c r="I24" s="22"/>
      <c r="J24" s="24"/>
      <c r="K24" s="22"/>
      <c r="L24" s="22"/>
      <c r="M24" s="15">
        <f>+K24+I24+G24+E24</f>
        <v>1027.54</v>
      </c>
      <c r="N24" s="15">
        <f>((E24+K24)*14)+((G24+I24)*12)+120</f>
        <v>14366.8</v>
      </c>
      <c r="O24" s="22"/>
      <c r="P24" s="22">
        <v>11.12</v>
      </c>
      <c r="Q24" s="22">
        <v>1.47</v>
      </c>
      <c r="R24" s="22">
        <f>('SERVISECURITAS 2009'!O23*0.8/100)+'SERVISECURITAS 2009'!O23</f>
        <v>0.22486464</v>
      </c>
      <c r="S24" s="22">
        <f>'SERVISECURITAS 2009'!P23*0.8/100+'SERVISECURITAS 2009'!P23</f>
        <v>0.252</v>
      </c>
      <c r="T24" s="22">
        <f>('SERVISECURITAS 2009'!Q23*0.8/100)+'SERVISECURITAS 2009'!Q23</f>
        <v>8.0542425600000005</v>
      </c>
      <c r="U24" s="22">
        <f>('SERVISECURITAS 2009'!R23*0.8/100)+'SERVISECURITAS 2009'!R23</f>
        <v>13.440772800000001</v>
      </c>
      <c r="V24" s="22">
        <f>('SERVISECURITAS 2009'!S23*0.8/100)+'SERVISECURITAS 2009'!S23</f>
        <v>26.89176672</v>
      </c>
      <c r="W24" s="22">
        <v>24.66</v>
      </c>
      <c r="X24" s="22">
        <f>('SERVISECURITAS 2009'!U23*0.8/100)+'SERVISECURITAS 2009'!U23</f>
        <v>118.96361567999999</v>
      </c>
      <c r="Y24" s="22">
        <f>('SERVISECURITAS 2009'!V23*0.8/100)+'SERVISECURITAS 2009'!V23</f>
        <v>102.21120000000001</v>
      </c>
      <c r="Z24" s="22">
        <f>+E24*0.05</f>
        <v>47.908000000000001</v>
      </c>
      <c r="AA24" s="58">
        <f>Z24/30</f>
        <v>1.5969333333333333</v>
      </c>
      <c r="AB24" s="22">
        <f>('SERVISECURITAS 2009'!Y23*0.8/100)+'SERVISECURITAS 2009'!Y23</f>
        <v>47.896168319999994</v>
      </c>
    </row>
    <row r="25" spans="1:28" ht="18" customHeight="1" x14ac:dyDescent="0.2">
      <c r="A25" s="66"/>
      <c r="B25" s="66"/>
      <c r="C25" s="60"/>
      <c r="D25" s="27" t="s">
        <v>31</v>
      </c>
      <c r="E25" s="28"/>
      <c r="F25" s="29"/>
      <c r="G25" s="28"/>
      <c r="H25" s="29"/>
      <c r="I25" s="28"/>
      <c r="J25" s="29"/>
      <c r="K25" s="28"/>
      <c r="L25" s="28"/>
      <c r="M25" s="12"/>
      <c r="N25" s="28"/>
      <c r="O25" s="47"/>
      <c r="P25" s="18"/>
      <c r="Q25" s="22"/>
      <c r="R25" s="22"/>
      <c r="S25" s="22"/>
      <c r="T25" s="22"/>
      <c r="U25" s="22"/>
      <c r="V25" s="22"/>
      <c r="W25" s="22"/>
      <c r="X25" s="22"/>
      <c r="Y25" s="28"/>
      <c r="Z25" s="22"/>
      <c r="AA25" s="30"/>
      <c r="AB25" s="22"/>
    </row>
    <row r="26" spans="1:28" ht="18" customHeight="1" x14ac:dyDescent="0.2">
      <c r="A26" s="65">
        <v>6</v>
      </c>
      <c r="B26" s="65" t="s">
        <v>72</v>
      </c>
      <c r="C26" s="61">
        <v>2042</v>
      </c>
      <c r="D26" s="21" t="s">
        <v>65</v>
      </c>
      <c r="E26" s="25">
        <v>648.6</v>
      </c>
      <c r="F26" s="63">
        <f t="shared" ref="F26:F35" si="12">E26/30</f>
        <v>21.62</v>
      </c>
      <c r="G26" s="25">
        <v>65.53</v>
      </c>
      <c r="H26" s="63">
        <f t="shared" ref="H26:H35" si="13">G26/30</f>
        <v>2.1843333333333335</v>
      </c>
      <c r="I26" s="25">
        <v>27.76</v>
      </c>
      <c r="J26" s="23">
        <f t="shared" ref="J26:J35" si="14">I26/30</f>
        <v>0.92533333333333334</v>
      </c>
      <c r="K26" s="22"/>
      <c r="L26" s="22"/>
      <c r="M26" s="15">
        <f t="shared" ref="M26:M34" si="15">+K26+I26+G26+E26</f>
        <v>741.89</v>
      </c>
      <c r="N26" s="15">
        <f t="shared" ref="N26:N35" si="16">((E26+K26)*14)+((G26+I26)*12)+120</f>
        <v>10319.879999999999</v>
      </c>
      <c r="O26" s="22"/>
      <c r="P26" s="22">
        <v>6.7</v>
      </c>
      <c r="Q26" s="22">
        <v>0.96</v>
      </c>
      <c r="R26" s="22">
        <v>0.22</v>
      </c>
      <c r="S26" s="22">
        <f>'SERVISECURITAS 2009'!P25*0.8/100+'SERVISECURITAS 2009'!P25</f>
        <v>0.252</v>
      </c>
      <c r="T26" s="22">
        <f>('SERVISECURITAS 2009'!Q25*0.8/100)+'SERVISECURITAS 2009'!Q25</f>
        <v>8.0542425600000005</v>
      </c>
      <c r="U26" s="22">
        <f>('SERVISECURITAS 2009'!R25*0.8/100)+'SERVISECURITAS 2009'!R25</f>
        <v>13.440772800000001</v>
      </c>
      <c r="V26" s="22">
        <f>('SERVISECURITAS 2009'!S25*0.8/100)+'SERVISECURITAS 2009'!S25</f>
        <v>26.89176672</v>
      </c>
      <c r="W26" s="22">
        <v>24.66</v>
      </c>
      <c r="X26" s="22">
        <f>('SERVISECURITAS 2009'!U25*0.8/100)+'SERVISECURITAS 2009'!U25</f>
        <v>118.96361567999999</v>
      </c>
      <c r="Y26" s="22">
        <f>('SERVISECURITAS 2009'!V25*0.8/100)+'SERVISECURITAS 2009'!V25</f>
        <v>102.21120000000001</v>
      </c>
      <c r="Z26" s="22">
        <f t="shared" ref="Z26:Z35" si="17">+E26*0.05</f>
        <v>32.43</v>
      </c>
      <c r="AA26" s="63">
        <f t="shared" ref="AA26:AA35" si="18">Z26/30</f>
        <v>1.081</v>
      </c>
      <c r="AB26" s="22">
        <f>('SERVISECURITAS 2009'!Y25*0.8/100)+'SERVISECURITAS 2009'!Y25</f>
        <v>47.896168319999994</v>
      </c>
    </row>
    <row r="27" spans="1:28" ht="18" customHeight="1" x14ac:dyDescent="0.2">
      <c r="A27" s="65">
        <v>6</v>
      </c>
      <c r="B27" s="65" t="s">
        <v>73</v>
      </c>
      <c r="C27" s="61">
        <v>2047</v>
      </c>
      <c r="D27" s="21" t="s">
        <v>66</v>
      </c>
      <c r="E27" s="25">
        <v>648.6</v>
      </c>
      <c r="F27" s="63">
        <f>E27/30</f>
        <v>21.62</v>
      </c>
      <c r="G27" s="25">
        <v>65.53</v>
      </c>
      <c r="H27" s="63">
        <f>G27/30</f>
        <v>2.1843333333333335</v>
      </c>
      <c r="I27" s="25">
        <v>27.76</v>
      </c>
      <c r="J27" s="23">
        <f>I27/30</f>
        <v>0.92533333333333334</v>
      </c>
      <c r="K27" s="22"/>
      <c r="L27" s="22"/>
      <c r="M27" s="15">
        <f>+K27+I27+G27+E27</f>
        <v>741.89</v>
      </c>
      <c r="N27" s="15">
        <f>((E27+K27)*14)+((G27+I27)*12)+120</f>
        <v>10319.879999999999</v>
      </c>
      <c r="O27" s="22"/>
      <c r="P27" s="22">
        <v>6.7</v>
      </c>
      <c r="Q27" s="22">
        <v>0.96</v>
      </c>
      <c r="R27" s="22">
        <v>0.22</v>
      </c>
      <c r="S27" s="22">
        <f>'SERVISECURITAS 2009'!P26*0.8/100+'SERVISECURITAS 2009'!P26</f>
        <v>0.252</v>
      </c>
      <c r="T27" s="22">
        <f>('SERVISECURITAS 2009'!Q26*0.8/100)+'SERVISECURITAS 2009'!Q26</f>
        <v>8.0542425600000005</v>
      </c>
      <c r="U27" s="22">
        <f>('SERVISECURITAS 2009'!R26*0.8/100)+'SERVISECURITAS 2009'!R26</f>
        <v>13.440772800000001</v>
      </c>
      <c r="V27" s="22">
        <f>('SERVISECURITAS 2009'!S26*0.8/100)+'SERVISECURITAS 2009'!S26</f>
        <v>26.89176672</v>
      </c>
      <c r="W27" s="22">
        <v>24.66</v>
      </c>
      <c r="X27" s="22">
        <f>('SERVISECURITAS 2009'!U26*0.8/100)+'SERVISECURITAS 2009'!U26</f>
        <v>118.96361567999999</v>
      </c>
      <c r="Y27" s="22">
        <f>('SERVISECURITAS 2009'!V26*0.8/100)+'SERVISECURITAS 2009'!V26</f>
        <v>102.21120000000001</v>
      </c>
      <c r="Z27" s="22">
        <f>+E27*0.05</f>
        <v>32.43</v>
      </c>
      <c r="AA27" s="63">
        <f>Z27/30</f>
        <v>1.081</v>
      </c>
      <c r="AB27" s="22">
        <f>('SERVISECURITAS 2009'!Y26*0.8/100)+'SERVISECURITAS 2009'!Y26</f>
        <v>47.896168319999994</v>
      </c>
    </row>
    <row r="28" spans="1:28" ht="18" customHeight="1" x14ac:dyDescent="0.2">
      <c r="A28" s="65">
        <v>6</v>
      </c>
      <c r="B28" s="65" t="s">
        <v>72</v>
      </c>
      <c r="C28" s="61">
        <v>2205</v>
      </c>
      <c r="D28" s="21" t="s">
        <v>33</v>
      </c>
      <c r="E28" s="25">
        <v>648.6</v>
      </c>
      <c r="F28" s="63">
        <f t="shared" si="12"/>
        <v>21.62</v>
      </c>
      <c r="G28" s="25">
        <v>65.53</v>
      </c>
      <c r="H28" s="63">
        <f t="shared" si="13"/>
        <v>2.1843333333333335</v>
      </c>
      <c r="I28" s="25">
        <v>27.76</v>
      </c>
      <c r="J28" s="23">
        <f t="shared" si="14"/>
        <v>0.92533333333333334</v>
      </c>
      <c r="K28" s="22"/>
      <c r="L28" s="22"/>
      <c r="M28" s="15">
        <f t="shared" si="15"/>
        <v>741.89</v>
      </c>
      <c r="N28" s="15">
        <f t="shared" si="16"/>
        <v>10319.879999999999</v>
      </c>
      <c r="O28" s="22"/>
      <c r="P28" s="22">
        <v>6.7</v>
      </c>
      <c r="Q28" s="22">
        <v>0.96</v>
      </c>
      <c r="R28" s="22">
        <f>('SERVISECURITAS 2009'!O26*0.8/100)+'SERVISECURITAS 2009'!O26</f>
        <v>0.22486464</v>
      </c>
      <c r="S28" s="22">
        <f>'SERVISECURITAS 2009'!P26*0.8/100+'SERVISECURITAS 2009'!P26</f>
        <v>0.252</v>
      </c>
      <c r="T28" s="22">
        <f>('SERVISECURITAS 2009'!Q26*0.8/100)+'SERVISECURITAS 2009'!Q26</f>
        <v>8.0542425600000005</v>
      </c>
      <c r="U28" s="22">
        <f>('SERVISECURITAS 2009'!R26*0.8/100)+'SERVISECURITAS 2009'!R26</f>
        <v>13.440772800000001</v>
      </c>
      <c r="V28" s="22">
        <f>('SERVISECURITAS 2009'!S26*0.8/100)+'SERVISECURITAS 2009'!S26</f>
        <v>26.89176672</v>
      </c>
      <c r="W28" s="22">
        <v>24.66</v>
      </c>
      <c r="X28" s="22">
        <f>('SERVISECURITAS 2009'!U26*0.8/100)+'SERVISECURITAS 2009'!U26</f>
        <v>118.96361567999999</v>
      </c>
      <c r="Y28" s="22">
        <f>('SERVISECURITAS 2009'!V26*0.8/100)+'SERVISECURITAS 2009'!V26</f>
        <v>102.21120000000001</v>
      </c>
      <c r="Z28" s="22">
        <f t="shared" si="17"/>
        <v>32.43</v>
      </c>
      <c r="AA28" s="63">
        <f t="shared" si="18"/>
        <v>1.081</v>
      </c>
      <c r="AB28" s="22">
        <f>('SERVISECURITAS 2009'!Y26*0.8/100)+'SERVISECURITAS 2009'!Y26</f>
        <v>47.896168319999994</v>
      </c>
    </row>
    <row r="29" spans="1:28" ht="18" customHeight="1" x14ac:dyDescent="0.2">
      <c r="A29" s="65">
        <v>6</v>
      </c>
      <c r="B29" s="65" t="s">
        <v>72</v>
      </c>
      <c r="C29" s="61">
        <v>2044</v>
      </c>
      <c r="D29" s="21" t="s">
        <v>34</v>
      </c>
      <c r="E29" s="25">
        <v>648.6</v>
      </c>
      <c r="F29" s="63">
        <f t="shared" si="12"/>
        <v>21.62</v>
      </c>
      <c r="G29" s="25">
        <v>65.53</v>
      </c>
      <c r="H29" s="63">
        <f t="shared" si="13"/>
        <v>2.1843333333333335</v>
      </c>
      <c r="I29" s="25">
        <v>27.76</v>
      </c>
      <c r="J29" s="23">
        <f t="shared" si="14"/>
        <v>0.92533333333333334</v>
      </c>
      <c r="K29" s="22"/>
      <c r="L29" s="22"/>
      <c r="M29" s="15">
        <f t="shared" si="15"/>
        <v>741.89</v>
      </c>
      <c r="N29" s="15">
        <f t="shared" si="16"/>
        <v>10319.879999999999</v>
      </c>
      <c r="O29" s="22"/>
      <c r="P29" s="22">
        <v>6.7</v>
      </c>
      <c r="Q29" s="22">
        <v>0.96</v>
      </c>
      <c r="R29" s="22">
        <f>('SERVISECURITAS 2009'!O27*0.8/100)+'SERVISECURITAS 2009'!O27</f>
        <v>0.22486464</v>
      </c>
      <c r="S29" s="22">
        <f>'SERVISECURITAS 2009'!P27*0.8/100+'SERVISECURITAS 2009'!P27</f>
        <v>0.252</v>
      </c>
      <c r="T29" s="22">
        <f>('SERVISECURITAS 2009'!Q27*0.8/100)+'SERVISECURITAS 2009'!Q27</f>
        <v>8.0542425600000005</v>
      </c>
      <c r="U29" s="22">
        <f>('SERVISECURITAS 2009'!R27*0.8/100)+'SERVISECURITAS 2009'!R27</f>
        <v>13.440772800000001</v>
      </c>
      <c r="V29" s="22">
        <f>('SERVISECURITAS 2009'!S27*0.8/100)+'SERVISECURITAS 2009'!S27</f>
        <v>26.89176672</v>
      </c>
      <c r="W29" s="22">
        <v>24.66</v>
      </c>
      <c r="X29" s="22">
        <f>('SERVISECURITAS 2009'!U27*0.8/100)+'SERVISECURITAS 2009'!U27</f>
        <v>118.96361567999999</v>
      </c>
      <c r="Y29" s="22">
        <f>('SERVISECURITAS 2009'!V27*0.8/100)+'SERVISECURITAS 2009'!V27</f>
        <v>102.21120000000001</v>
      </c>
      <c r="Z29" s="22">
        <f t="shared" si="17"/>
        <v>32.43</v>
      </c>
      <c r="AA29" s="63">
        <f t="shared" si="18"/>
        <v>1.081</v>
      </c>
      <c r="AB29" s="22">
        <f>('SERVISECURITAS 2009'!Y27*0.8/100)+'SERVISECURITAS 2009'!Y27</f>
        <v>47.896168319999994</v>
      </c>
    </row>
    <row r="30" spans="1:28" ht="18" customHeight="1" x14ac:dyDescent="0.2">
      <c r="A30" s="65">
        <v>6</v>
      </c>
      <c r="B30" s="65" t="s">
        <v>74</v>
      </c>
      <c r="C30" s="61">
        <v>2048</v>
      </c>
      <c r="D30" s="21" t="s">
        <v>35</v>
      </c>
      <c r="E30" s="25">
        <v>648.6</v>
      </c>
      <c r="F30" s="63">
        <f t="shared" si="12"/>
        <v>21.62</v>
      </c>
      <c r="G30" s="25">
        <v>65.53</v>
      </c>
      <c r="H30" s="63">
        <f t="shared" si="13"/>
        <v>2.1843333333333335</v>
      </c>
      <c r="I30" s="25">
        <v>27.76</v>
      </c>
      <c r="J30" s="23">
        <f t="shared" si="14"/>
        <v>0.92533333333333334</v>
      </c>
      <c r="K30" s="22"/>
      <c r="L30" s="22"/>
      <c r="M30" s="15">
        <f t="shared" si="15"/>
        <v>741.89</v>
      </c>
      <c r="N30" s="15">
        <f t="shared" si="16"/>
        <v>10319.879999999999</v>
      </c>
      <c r="O30" s="22"/>
      <c r="P30" s="22">
        <v>6.7</v>
      </c>
      <c r="Q30" s="22">
        <v>0.96</v>
      </c>
      <c r="R30" s="22">
        <f>('SERVISECURITAS 2009'!O28*0.8/100)+'SERVISECURITAS 2009'!O28</f>
        <v>0.22486464</v>
      </c>
      <c r="S30" s="22">
        <f>'SERVISECURITAS 2009'!P28*0.8/100+'SERVISECURITAS 2009'!P28</f>
        <v>0.252</v>
      </c>
      <c r="T30" s="22">
        <f>('SERVISECURITAS 2009'!Q28*0.8/100)+'SERVISECURITAS 2009'!Q28</f>
        <v>8.0542425600000005</v>
      </c>
      <c r="U30" s="22">
        <f>('SERVISECURITAS 2009'!R28*0.8/100)+'SERVISECURITAS 2009'!R28</f>
        <v>13.440772800000001</v>
      </c>
      <c r="V30" s="22">
        <f>('SERVISECURITAS 2009'!S28*0.8/100)+'SERVISECURITAS 2009'!S28</f>
        <v>26.89176672</v>
      </c>
      <c r="W30" s="22">
        <v>24.66</v>
      </c>
      <c r="X30" s="22">
        <f>('SERVISECURITAS 2009'!U28*0.8/100)+'SERVISECURITAS 2009'!U28</f>
        <v>118.96361567999999</v>
      </c>
      <c r="Y30" s="22">
        <f>('SERVISECURITAS 2009'!V28*0.8/100)+'SERVISECURITAS 2009'!V28</f>
        <v>102.21120000000001</v>
      </c>
      <c r="Z30" s="22">
        <f t="shared" si="17"/>
        <v>32.43</v>
      </c>
      <c r="AA30" s="63">
        <f t="shared" si="18"/>
        <v>1.081</v>
      </c>
      <c r="AB30" s="22">
        <f>('SERVISECURITAS 2009'!Y28*0.8/100)+'SERVISECURITAS 2009'!Y28</f>
        <v>47.896168319999994</v>
      </c>
    </row>
    <row r="31" spans="1:28" ht="18" customHeight="1" x14ac:dyDescent="0.2">
      <c r="A31" s="65">
        <v>6</v>
      </c>
      <c r="B31" s="65" t="s">
        <v>72</v>
      </c>
      <c r="C31" s="61">
        <v>2043</v>
      </c>
      <c r="D31" s="21" t="s">
        <v>36</v>
      </c>
      <c r="E31" s="25">
        <v>648.6</v>
      </c>
      <c r="F31" s="63">
        <f>E31/30</f>
        <v>21.62</v>
      </c>
      <c r="G31" s="25">
        <v>65.53</v>
      </c>
      <c r="H31" s="63">
        <f>G31/30</f>
        <v>2.1843333333333335</v>
      </c>
      <c r="I31" s="25">
        <v>27.76</v>
      </c>
      <c r="J31" s="23">
        <f>I31/30</f>
        <v>0.92533333333333334</v>
      </c>
      <c r="K31" s="22"/>
      <c r="L31" s="22"/>
      <c r="M31" s="15">
        <f>+K31+I31+G31+E31</f>
        <v>741.89</v>
      </c>
      <c r="N31" s="15">
        <f>((E31+K31)*14)+((G31+I31)*12)+120</f>
        <v>10319.879999999999</v>
      </c>
      <c r="O31" s="22"/>
      <c r="P31" s="22">
        <v>6.7</v>
      </c>
      <c r="Q31" s="22">
        <v>0.96</v>
      </c>
      <c r="R31" s="22">
        <f>('SERVISECURITAS 2009'!O28*0.8/100)+'SERVISECURITAS 2009'!O28</f>
        <v>0.22486464</v>
      </c>
      <c r="S31" s="22">
        <f>'SERVISECURITAS 2009'!P28*0.8/100+'SERVISECURITAS 2009'!P28</f>
        <v>0.252</v>
      </c>
      <c r="T31" s="22">
        <f>('SERVISECURITAS 2009'!Q28*0.8/100)+'SERVISECURITAS 2009'!Q28</f>
        <v>8.0542425600000005</v>
      </c>
      <c r="U31" s="22">
        <f>('SERVISECURITAS 2009'!R28*0.8/100)+'SERVISECURITAS 2009'!R28</f>
        <v>13.440772800000001</v>
      </c>
      <c r="V31" s="22">
        <f>('SERVISECURITAS 2009'!S28*0.8/100)+'SERVISECURITAS 2009'!S28</f>
        <v>26.89176672</v>
      </c>
      <c r="W31" s="22">
        <v>24.66</v>
      </c>
      <c r="X31" s="22">
        <f>('SERVISECURITAS 2009'!U28*0.8/100)+'SERVISECURITAS 2009'!U28</f>
        <v>118.96361567999999</v>
      </c>
      <c r="Y31" s="22">
        <f>('SERVISECURITAS 2009'!V28*0.8/100)+'SERVISECURITAS 2009'!V28</f>
        <v>102.21120000000001</v>
      </c>
      <c r="Z31" s="22">
        <f>+E31*0.05</f>
        <v>32.43</v>
      </c>
      <c r="AA31" s="63">
        <f>Z31/30</f>
        <v>1.081</v>
      </c>
      <c r="AB31" s="22">
        <f>('SERVISECURITAS 2009'!Y28*0.8/100)+'SERVISECURITAS 2009'!Y28</f>
        <v>47.896168319999994</v>
      </c>
    </row>
    <row r="32" spans="1:28" ht="18" customHeight="1" x14ac:dyDescent="0.2">
      <c r="A32" s="65">
        <v>6</v>
      </c>
      <c r="B32" s="65" t="s">
        <v>72</v>
      </c>
      <c r="C32" s="61">
        <v>2045</v>
      </c>
      <c r="D32" s="21" t="s">
        <v>64</v>
      </c>
      <c r="E32" s="25">
        <v>648.6</v>
      </c>
      <c r="F32" s="63">
        <f t="shared" si="12"/>
        <v>21.62</v>
      </c>
      <c r="G32" s="25">
        <v>65.53</v>
      </c>
      <c r="H32" s="63">
        <f t="shared" si="13"/>
        <v>2.1843333333333335</v>
      </c>
      <c r="I32" s="25">
        <v>27.76</v>
      </c>
      <c r="J32" s="23">
        <f t="shared" si="14"/>
        <v>0.92533333333333334</v>
      </c>
      <c r="K32" s="22"/>
      <c r="L32" s="22"/>
      <c r="M32" s="15">
        <f t="shared" si="15"/>
        <v>741.89</v>
      </c>
      <c r="N32" s="15">
        <f t="shared" si="16"/>
        <v>10319.879999999999</v>
      </c>
      <c r="O32" s="22"/>
      <c r="P32" s="22">
        <v>6.7</v>
      </c>
      <c r="Q32" s="22">
        <v>0.96</v>
      </c>
      <c r="R32" s="22">
        <f>('SERVISECURITAS 2009'!O29*0.8/100)+'SERVISECURITAS 2009'!O29</f>
        <v>0.22486464</v>
      </c>
      <c r="S32" s="22">
        <f>'SERVISECURITAS 2009'!P29*0.8/100+'SERVISECURITAS 2009'!P29</f>
        <v>0.252</v>
      </c>
      <c r="T32" s="22">
        <f>('SERVISECURITAS 2009'!Q29*0.8/100)+'SERVISECURITAS 2009'!Q29</f>
        <v>8.0542425600000005</v>
      </c>
      <c r="U32" s="22">
        <f>('SERVISECURITAS 2009'!R29*0.8/100)+'SERVISECURITAS 2009'!R29</f>
        <v>13.440772800000001</v>
      </c>
      <c r="V32" s="22">
        <f>('SERVISECURITAS 2009'!S29*0.8/100)+'SERVISECURITAS 2009'!S29</f>
        <v>26.89176672</v>
      </c>
      <c r="W32" s="22">
        <v>24.66</v>
      </c>
      <c r="X32" s="22">
        <f>('SERVISECURITAS 2009'!U29*0.8/100)+'SERVISECURITAS 2009'!U29</f>
        <v>118.96361567999999</v>
      </c>
      <c r="Y32" s="22">
        <f>('SERVISECURITAS 2009'!V29*0.8/100)+'SERVISECURITAS 2009'!V29</f>
        <v>102.21120000000001</v>
      </c>
      <c r="Z32" s="22">
        <f t="shared" si="17"/>
        <v>32.43</v>
      </c>
      <c r="AA32" s="63">
        <f t="shared" si="18"/>
        <v>1.081</v>
      </c>
      <c r="AB32" s="22">
        <f>('SERVISECURITAS 2009'!Y29*0.8/100)+'SERVISECURITAS 2009'!Y29</f>
        <v>47.896168319999994</v>
      </c>
    </row>
    <row r="33" spans="1:28" ht="18" customHeight="1" x14ac:dyDescent="0.2">
      <c r="A33" s="65">
        <v>6</v>
      </c>
      <c r="B33" s="65" t="s">
        <v>72</v>
      </c>
      <c r="C33" s="61">
        <v>2060</v>
      </c>
      <c r="D33" s="21" t="s">
        <v>50</v>
      </c>
      <c r="E33" s="25">
        <v>648.6</v>
      </c>
      <c r="F33" s="63">
        <f t="shared" si="12"/>
        <v>21.62</v>
      </c>
      <c r="G33" s="25">
        <v>65.53</v>
      </c>
      <c r="H33" s="63">
        <f t="shared" si="13"/>
        <v>2.1843333333333335</v>
      </c>
      <c r="I33" s="25">
        <v>27.76</v>
      </c>
      <c r="J33" s="23">
        <f t="shared" si="14"/>
        <v>0.92533333333333334</v>
      </c>
      <c r="K33" s="22"/>
      <c r="L33" s="22"/>
      <c r="M33" s="15">
        <f t="shared" si="15"/>
        <v>741.89</v>
      </c>
      <c r="N33" s="15">
        <f t="shared" si="16"/>
        <v>10319.879999999999</v>
      </c>
      <c r="O33" s="22"/>
      <c r="P33" s="22">
        <v>6.7</v>
      </c>
      <c r="Q33" s="22">
        <v>0.96</v>
      </c>
      <c r="R33" s="22">
        <f>('SERVISECURITAS 2009'!O30*0.8/100)+'SERVISECURITAS 2009'!O30</f>
        <v>0.22486464</v>
      </c>
      <c r="S33" s="22">
        <f>'SERVISECURITAS 2009'!P30*0.8/100+'SERVISECURITAS 2009'!P30</f>
        <v>0.252</v>
      </c>
      <c r="T33" s="22">
        <f>('SERVISECURITAS 2009'!Q30*0.8/100)+'SERVISECURITAS 2009'!Q30</f>
        <v>8.0542425600000005</v>
      </c>
      <c r="U33" s="22">
        <f>('SERVISECURITAS 2009'!R30*0.8/100)+'SERVISECURITAS 2009'!R30</f>
        <v>13.440772800000001</v>
      </c>
      <c r="V33" s="22">
        <f>('SERVISECURITAS 2009'!S30*0.8/100)+'SERVISECURITAS 2009'!S30</f>
        <v>26.89176672</v>
      </c>
      <c r="W33" s="22">
        <v>24.66</v>
      </c>
      <c r="X33" s="22">
        <f>('SERVISECURITAS 2009'!U30*0.8/100)+'SERVISECURITAS 2009'!U30</f>
        <v>118.96361567999999</v>
      </c>
      <c r="Y33" s="22">
        <f>('SERVISECURITAS 2009'!V30*0.8/100)+'SERVISECURITAS 2009'!V30</f>
        <v>102.21120000000001</v>
      </c>
      <c r="Z33" s="22">
        <f t="shared" si="17"/>
        <v>32.43</v>
      </c>
      <c r="AA33" s="63">
        <f t="shared" si="18"/>
        <v>1.081</v>
      </c>
      <c r="AB33" s="22">
        <f>('SERVISECURITAS 2009'!Y30*0.8/100)+'SERVISECURITAS 2009'!Y30</f>
        <v>47.896168319999994</v>
      </c>
    </row>
    <row r="34" spans="1:28" ht="18" customHeight="1" x14ac:dyDescent="0.2">
      <c r="A34" s="65">
        <v>7</v>
      </c>
      <c r="B34" s="65" t="s">
        <v>72</v>
      </c>
      <c r="C34" s="61">
        <v>2061</v>
      </c>
      <c r="D34" s="21" t="s">
        <v>51</v>
      </c>
      <c r="E34" s="25">
        <v>648.6</v>
      </c>
      <c r="F34" s="63">
        <f t="shared" si="12"/>
        <v>21.62</v>
      </c>
      <c r="G34" s="25">
        <v>65.53</v>
      </c>
      <c r="H34" s="63">
        <f t="shared" si="13"/>
        <v>2.1843333333333335</v>
      </c>
      <c r="I34" s="25">
        <v>27.76</v>
      </c>
      <c r="J34" s="23">
        <f t="shared" si="14"/>
        <v>0.92533333333333334</v>
      </c>
      <c r="K34" s="22"/>
      <c r="L34" s="22"/>
      <c r="M34" s="15">
        <f t="shared" si="15"/>
        <v>741.89</v>
      </c>
      <c r="N34" s="15">
        <f t="shared" si="16"/>
        <v>10319.879999999999</v>
      </c>
      <c r="O34" s="22"/>
      <c r="P34" s="22">
        <v>6.7</v>
      </c>
      <c r="Q34" s="22">
        <v>0.96</v>
      </c>
      <c r="R34" s="22">
        <f>('SERVISECURITAS 2009'!O31*0.8/100)+'SERVISECURITAS 2009'!O31</f>
        <v>0.22486464</v>
      </c>
      <c r="S34" s="22">
        <f>'SERVISECURITAS 2009'!P31*0.8/100+'SERVISECURITAS 2009'!P31</f>
        <v>0.252</v>
      </c>
      <c r="T34" s="22">
        <f>('SERVISECURITAS 2009'!Q31*0.8/100)+'SERVISECURITAS 2009'!Q31</f>
        <v>8.0542425600000005</v>
      </c>
      <c r="U34" s="22">
        <f>('SERVISECURITAS 2009'!R31*0.8/100)+'SERVISECURITAS 2009'!R31</f>
        <v>13.440772800000001</v>
      </c>
      <c r="V34" s="22">
        <f>('SERVISECURITAS 2009'!S31*0.8/100)+'SERVISECURITAS 2009'!S31</f>
        <v>26.89176672</v>
      </c>
      <c r="W34" s="22">
        <v>24.66</v>
      </c>
      <c r="X34" s="22">
        <f>('SERVISECURITAS 2009'!U31*0.8/100)+'SERVISECURITAS 2009'!U31</f>
        <v>118.96361567999999</v>
      </c>
      <c r="Y34" s="22">
        <f>('SERVISECURITAS 2009'!V31*0.8/100)+'SERVISECURITAS 2009'!V31</f>
        <v>102.21120000000001</v>
      </c>
      <c r="Z34" s="22">
        <f t="shared" si="17"/>
        <v>32.43</v>
      </c>
      <c r="AA34" s="63">
        <f t="shared" si="18"/>
        <v>1.081</v>
      </c>
      <c r="AB34" s="22">
        <f>('SERVISECURITAS 2009'!Y31*0.8/100)+'SERVISECURITAS 2009'!Y31</f>
        <v>47.896168319999994</v>
      </c>
    </row>
    <row r="35" spans="1:28" ht="18" customHeight="1" x14ac:dyDescent="0.2">
      <c r="A35" s="65">
        <v>6</v>
      </c>
      <c r="B35" s="65" t="s">
        <v>73</v>
      </c>
      <c r="C35" s="61">
        <v>2046</v>
      </c>
      <c r="D35" s="21" t="s">
        <v>37</v>
      </c>
      <c r="E35" s="25">
        <v>683.9</v>
      </c>
      <c r="F35" s="63">
        <f t="shared" si="12"/>
        <v>22.796666666666667</v>
      </c>
      <c r="G35" s="25">
        <v>69.38</v>
      </c>
      <c r="H35" s="63">
        <f t="shared" si="13"/>
        <v>2.3126666666666664</v>
      </c>
      <c r="I35" s="25">
        <v>27.76</v>
      </c>
      <c r="J35" s="23">
        <f t="shared" si="14"/>
        <v>0.92533333333333334</v>
      </c>
      <c r="K35" s="22">
        <v>78.72</v>
      </c>
      <c r="L35" s="23">
        <f>K35/30</f>
        <v>2.6240000000000001</v>
      </c>
      <c r="M35" s="15">
        <f>+K35+I35+G35+E35</f>
        <v>859.76</v>
      </c>
      <c r="N35" s="15">
        <f t="shared" si="16"/>
        <v>11962.36</v>
      </c>
      <c r="O35" s="22"/>
      <c r="P35" s="22">
        <v>7.75</v>
      </c>
      <c r="Q35" s="22">
        <v>1.03</v>
      </c>
      <c r="R35" s="22">
        <f>('SERVISECURITAS 2009'!O32*0.8/100)+'SERVISECURITAS 2009'!O32</f>
        <v>0.22486464</v>
      </c>
      <c r="S35" s="22">
        <f>'SERVISECURITAS 2009'!P32*0.8/100+'SERVISECURITAS 2009'!P32</f>
        <v>0.252</v>
      </c>
      <c r="T35" s="22">
        <f>('SERVISECURITAS 2009'!Q32*0.8/100)+'SERVISECURITAS 2009'!Q32</f>
        <v>8.0542425600000005</v>
      </c>
      <c r="U35" s="22">
        <f>('SERVISECURITAS 2009'!R32*0.8/100)+'SERVISECURITAS 2009'!R32</f>
        <v>13.440772800000001</v>
      </c>
      <c r="V35" s="22">
        <f>('SERVISECURITAS 2009'!S32*0.8/100)+'SERVISECURITAS 2009'!S32</f>
        <v>26.89176672</v>
      </c>
      <c r="W35" s="22">
        <v>24.66</v>
      </c>
      <c r="X35" s="22">
        <f>('SERVISECURITAS 2009'!U32*0.8/100)+'SERVISECURITAS 2009'!U32</f>
        <v>118.96361567999999</v>
      </c>
      <c r="Y35" s="22">
        <f>('SERVISECURITAS 2009'!V32*0.8/100)+'SERVISECURITAS 2009'!V32</f>
        <v>102.21120000000001</v>
      </c>
      <c r="Z35" s="22">
        <f t="shared" si="17"/>
        <v>34.195</v>
      </c>
      <c r="AA35" s="58">
        <f t="shared" si="18"/>
        <v>1.1398333333333333</v>
      </c>
      <c r="AB35" s="22">
        <f>('SERVISECURITAS 2009'!Y32*0.8/100)+'SERVISECURITAS 2009'!Y32</f>
        <v>47.896168319999994</v>
      </c>
    </row>
    <row r="36" spans="1:28" ht="18" customHeight="1" x14ac:dyDescent="0.2">
      <c r="A36" s="66"/>
      <c r="B36" s="66"/>
      <c r="C36" s="60"/>
      <c r="D36" s="27" t="s">
        <v>38</v>
      </c>
      <c r="E36" s="28"/>
      <c r="F36" s="29"/>
      <c r="G36" s="28"/>
      <c r="H36" s="29"/>
      <c r="I36" s="28"/>
      <c r="J36" s="29"/>
      <c r="K36" s="28"/>
      <c r="L36" s="28"/>
      <c r="M36" s="45"/>
      <c r="N36" s="28"/>
      <c r="O36" s="47"/>
      <c r="P36" s="18"/>
      <c r="Q36" s="22"/>
      <c r="R36" s="22"/>
      <c r="S36" s="22"/>
      <c r="T36" s="22"/>
      <c r="U36" s="22"/>
      <c r="V36" s="22"/>
      <c r="W36" s="22"/>
      <c r="X36" s="22"/>
      <c r="Y36" s="28"/>
      <c r="Z36" s="22"/>
      <c r="AA36" s="30"/>
      <c r="AB36" s="22"/>
    </row>
    <row r="37" spans="1:28" ht="18" customHeight="1" x14ac:dyDescent="0.2">
      <c r="A37" s="65">
        <v>10</v>
      </c>
      <c r="B37" s="65" t="s">
        <v>72</v>
      </c>
      <c r="C37" s="61">
        <v>2051</v>
      </c>
      <c r="D37" s="21" t="s">
        <v>39</v>
      </c>
      <c r="E37" s="25">
        <v>649.19999999999993</v>
      </c>
      <c r="F37" s="63">
        <f>E37/30</f>
        <v>21.639999999999997</v>
      </c>
      <c r="G37" s="25">
        <v>69.38</v>
      </c>
      <c r="H37" s="23">
        <f>G37/30</f>
        <v>2.3126666666666664</v>
      </c>
      <c r="I37" s="22"/>
      <c r="J37" s="24"/>
      <c r="K37" s="22"/>
      <c r="L37" s="22"/>
      <c r="M37" s="15">
        <f>+K37+I37+G37+E37</f>
        <v>718.57999999999993</v>
      </c>
      <c r="N37" s="15">
        <f>((E37+K37)*14)+((G37+I37)*12)+120</f>
        <v>10041.359999999999</v>
      </c>
      <c r="O37" s="22"/>
      <c r="P37" s="22">
        <v>6.7</v>
      </c>
      <c r="Q37" s="22">
        <v>0.99</v>
      </c>
      <c r="R37" s="22">
        <f>('SERVISECURITAS 2009'!O34*0.8/100)+'SERVISECURITAS 2009'!O34</f>
        <v>0.22486464</v>
      </c>
      <c r="S37" s="22">
        <f>'SERVISECURITAS 2009'!P34*0.8/100+'SERVISECURITAS 2009'!P34</f>
        <v>0.252</v>
      </c>
      <c r="T37" s="22">
        <f>('SERVISECURITAS 2009'!Q34*0.8/100)+'SERVISECURITAS 2009'!Q34</f>
        <v>8.0542425600000005</v>
      </c>
      <c r="U37" s="22">
        <f>('SERVISECURITAS 2009'!R34*0.8/100)+'SERVISECURITAS 2009'!R34</f>
        <v>13.440772800000001</v>
      </c>
      <c r="V37" s="22">
        <f>('SERVISECURITAS 2009'!S34*0.8/100)+'SERVISECURITAS 2009'!S34</f>
        <v>26.89176672</v>
      </c>
      <c r="W37" s="22">
        <v>24.66</v>
      </c>
      <c r="X37" s="22">
        <f>('SERVISECURITAS 2009'!U34*0.8/100)+'SERVISECURITAS 2009'!U34</f>
        <v>118.96361567999999</v>
      </c>
      <c r="Y37" s="22">
        <f>('SERVISECURITAS 2009'!V34*0.8/100)+'SERVISECURITAS 2009'!V34</f>
        <v>102.21120000000001</v>
      </c>
      <c r="Z37" s="22">
        <f>+E37*0.05</f>
        <v>32.46</v>
      </c>
      <c r="AA37" s="58">
        <f>Z37/30</f>
        <v>1.0820000000000001</v>
      </c>
      <c r="AB37" s="22">
        <f>('SERVISECURITAS 2009'!Y34*0.8/100)+'SERVISECURITAS 2009'!Y34</f>
        <v>47.896168319999994</v>
      </c>
    </row>
    <row r="38" spans="1:28" ht="18" customHeight="1" x14ac:dyDescent="0.2">
      <c r="A38" s="65">
        <v>9</v>
      </c>
      <c r="B38" s="65" t="s">
        <v>75</v>
      </c>
      <c r="C38" s="61">
        <v>2903</v>
      </c>
      <c r="D38" s="21" t="s">
        <v>40</v>
      </c>
      <c r="E38" s="25">
        <v>648.6</v>
      </c>
      <c r="F38" s="63">
        <f>E38/30</f>
        <v>21.62</v>
      </c>
      <c r="G38" s="25">
        <v>65.53</v>
      </c>
      <c r="H38" s="23">
        <f>G38/30</f>
        <v>2.1843333333333335</v>
      </c>
      <c r="I38" s="22"/>
      <c r="J38" s="24"/>
      <c r="K38" s="22"/>
      <c r="L38" s="22"/>
      <c r="M38" s="15">
        <f>+K38+I38+G38+E38</f>
        <v>714.13</v>
      </c>
      <c r="N38" s="15">
        <f>((E38+K38)*14)+((G38+I38)*12)+120</f>
        <v>9986.76</v>
      </c>
      <c r="O38" s="22"/>
      <c r="P38" s="22">
        <v>6.7</v>
      </c>
      <c r="Q38" s="22">
        <v>0.94</v>
      </c>
      <c r="R38" s="22">
        <f>('SERVISECURITAS 2009'!O35*0.8/100)+'SERVISECURITAS 2009'!O35</f>
        <v>0.22486464</v>
      </c>
      <c r="S38" s="22">
        <f>'SERVISECURITAS 2009'!P35*0.8/100+'SERVISECURITAS 2009'!P35</f>
        <v>0.252</v>
      </c>
      <c r="T38" s="22">
        <f>('SERVISECURITAS 2009'!Q35*0.8/100)+'SERVISECURITAS 2009'!Q35</f>
        <v>8.0542425600000005</v>
      </c>
      <c r="U38" s="22">
        <f>('SERVISECURITAS 2009'!R35*0.8/100)+'SERVISECURITAS 2009'!R35</f>
        <v>13.440772800000001</v>
      </c>
      <c r="V38" s="22">
        <f>('SERVISECURITAS 2009'!S35*0.8/100)+'SERVISECURITAS 2009'!S35</f>
        <v>26.89176672</v>
      </c>
      <c r="W38" s="22">
        <v>24.66</v>
      </c>
      <c r="X38" s="22">
        <f>('SERVISECURITAS 2009'!U35*0.8/100)+'SERVISECURITAS 2009'!U35</f>
        <v>118.96361567999999</v>
      </c>
      <c r="Y38" s="22">
        <f>('SERVISECURITAS 2009'!V35*0.8/100)+'SERVISECURITAS 2009'!V35</f>
        <v>102.21120000000001</v>
      </c>
      <c r="Z38" s="22">
        <f>+E38*0.05</f>
        <v>32.43</v>
      </c>
      <c r="AA38" s="63">
        <f>Z38/30</f>
        <v>1.081</v>
      </c>
      <c r="AB38" s="22">
        <f>('SERVISECURITAS 2009'!Y35*0.8/100)+'SERVISECURITAS 2009'!Y35</f>
        <v>47.896168319999994</v>
      </c>
    </row>
    <row r="39" spans="1:28" x14ac:dyDescent="0.2">
      <c r="A39" s="67"/>
      <c r="B39" s="67"/>
      <c r="AA39" s="39"/>
    </row>
    <row r="40" spans="1:28" ht="8.25" customHeight="1" x14ac:dyDescent="0.2">
      <c r="A40" s="67"/>
      <c r="B40" s="67"/>
      <c r="AA40" s="39"/>
    </row>
    <row r="41" spans="1:28" ht="23.25" customHeight="1" x14ac:dyDescent="0.2">
      <c r="A41" s="67"/>
      <c r="B41" s="67"/>
      <c r="D41" s="40" t="s">
        <v>68</v>
      </c>
      <c r="AA41" s="39"/>
    </row>
    <row r="42" spans="1:28" ht="15" customHeight="1" x14ac:dyDescent="0.2">
      <c r="A42" s="67"/>
      <c r="AA42" s="39"/>
    </row>
    <row r="43" spans="1:28" ht="15" customHeight="1" x14ac:dyDescent="0.2">
      <c r="A43" s="67"/>
      <c r="AA43" s="39"/>
    </row>
    <row r="44" spans="1:28" ht="15" customHeight="1" x14ac:dyDescent="0.2">
      <c r="A44" s="67"/>
      <c r="AA44" s="39"/>
    </row>
    <row r="45" spans="1:28" ht="15" customHeight="1" x14ac:dyDescent="0.2">
      <c r="A45" s="67"/>
      <c r="AA45" s="39"/>
    </row>
    <row r="46" spans="1:28" x14ac:dyDescent="0.2">
      <c r="A46" s="67"/>
      <c r="AA46" s="39"/>
    </row>
    <row r="47" spans="1:28" ht="21" customHeight="1" x14ac:dyDescent="0.2">
      <c r="A47" s="67"/>
    </row>
  </sheetData>
  <sheetProtection password="CC0B" sheet="1" objects="1" scenarios="1" selectLockedCells="1" selectUnlockedCells="1"/>
  <autoFilter ref="A1:AB47" xr:uid="{00000000-0009-0000-0000-000006000000}"/>
  <printOptions horizontalCentered="1"/>
  <pageMargins left="0.25" right="0.25" top="0.56000000000000005" bottom="0.26" header="0.3" footer="0.17"/>
  <pageSetup paperSize="9" scale="72" fitToWidth="0" orientation="landscape" r:id="rId1"/>
  <headerFooter alignWithMargins="0">
    <oddHeader xml:space="preserve">&amp;C&amp;"Calibri,Negrita"&amp;12&amp;ETABLA SALARIAL CONVENIO SERVICIOS SECURITAS, S.A.  (2015)
</oddHeader>
  </headerFooter>
  <colBreaks count="1" manualBreakCount="1">
    <brk id="2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B59"/>
  <sheetViews>
    <sheetView topLeftCell="A22" zoomScale="110" zoomScaleNormal="110" workbookViewId="0">
      <selection activeCell="M43" sqref="M43"/>
    </sheetView>
  </sheetViews>
  <sheetFormatPr baseColWidth="10" defaultColWidth="10.140625" defaultRowHeight="12.75" x14ac:dyDescent="0.2"/>
  <cols>
    <col min="1" max="1" width="6.42578125" style="62" bestFit="1" customWidth="1"/>
    <col min="2" max="2" width="6.42578125" style="62" customWidth="1"/>
    <col min="3" max="3" width="9.7109375" style="62" bestFit="1" customWidth="1"/>
    <col min="4" max="4" width="35.85546875" customWidth="1"/>
    <col min="5" max="5" width="7.140625" bestFit="1" customWidth="1"/>
    <col min="6" max="6" width="6.7109375" hidden="1" customWidth="1"/>
    <col min="7" max="7" width="7.7109375" bestFit="1" customWidth="1"/>
    <col min="8" max="8" width="5.85546875" hidden="1" customWidth="1"/>
    <col min="9" max="9" width="5.5703125" bestFit="1" customWidth="1"/>
    <col min="10" max="10" width="6.28515625" hidden="1" customWidth="1"/>
    <col min="11" max="11" width="5.5703125" bestFit="1" customWidth="1"/>
    <col min="12" max="12" width="6.28515625" hidden="1" customWidth="1"/>
    <col min="13" max="13" width="7.140625" bestFit="1" customWidth="1"/>
    <col min="14" max="14" width="9.28515625" bestFit="1" customWidth="1"/>
    <col min="15" max="15" width="0.5703125" customWidth="1"/>
    <col min="16" max="16" width="6.5703125" bestFit="1" customWidth="1"/>
    <col min="17" max="17" width="7" customWidth="1"/>
    <col min="18" max="18" width="7.85546875" style="56" bestFit="1" customWidth="1"/>
    <col min="19" max="19" width="6.85546875" style="56" customWidth="1"/>
    <col min="20" max="20" width="7" customWidth="1"/>
    <col min="21" max="21" width="7.140625" customWidth="1"/>
    <col min="22" max="22" width="9.140625" bestFit="1" customWidth="1"/>
    <col min="23" max="23" width="10.85546875" bestFit="1" customWidth="1"/>
    <col min="24" max="24" width="10" customWidth="1"/>
    <col min="25" max="25" width="7.140625" bestFit="1" customWidth="1"/>
    <col min="26" max="26" width="8.28515625" customWidth="1"/>
    <col min="27" max="27" width="8.28515625" hidden="1" customWidth="1"/>
    <col min="28" max="28" width="8.28515625" customWidth="1"/>
    <col min="29" max="29" width="1.140625" customWidth="1"/>
    <col min="30" max="30" width="6.42578125" customWidth="1"/>
    <col min="31" max="31" width="27.85546875" customWidth="1"/>
    <col min="32" max="32" width="7.85546875" bestFit="1" customWidth="1"/>
    <col min="33" max="33" width="7.85546875" customWidth="1"/>
    <col min="34" max="34" width="8.85546875" bestFit="1" customWidth="1"/>
    <col min="35" max="35" width="6.85546875" bestFit="1" customWidth="1"/>
    <col min="36" max="36" width="10.5703125" customWidth="1"/>
    <col min="37" max="37" width="7.85546875" bestFit="1" customWidth="1"/>
    <col min="38" max="38" width="8" bestFit="1" customWidth="1"/>
    <col min="39" max="39" width="9" customWidth="1"/>
    <col min="40" max="40" width="8.140625" customWidth="1"/>
    <col min="41" max="41" width="9" customWidth="1"/>
  </cols>
  <sheetData>
    <row r="1" spans="1:28" s="40" customFormat="1" ht="39.75" customHeight="1" x14ac:dyDescent="0.2">
      <c r="A1" s="64" t="s">
        <v>69</v>
      </c>
      <c r="B1" s="64" t="s">
        <v>70</v>
      </c>
      <c r="C1" s="59" t="s">
        <v>0</v>
      </c>
      <c r="D1" s="49" t="s">
        <v>1</v>
      </c>
      <c r="E1" s="41" t="s">
        <v>2</v>
      </c>
      <c r="F1" s="50">
        <v>110021</v>
      </c>
      <c r="G1" s="41" t="s">
        <v>3</v>
      </c>
      <c r="H1" s="51">
        <v>15220</v>
      </c>
      <c r="I1" s="41" t="s">
        <v>4</v>
      </c>
      <c r="J1" s="51">
        <v>116220</v>
      </c>
      <c r="K1" s="41" t="s">
        <v>5</v>
      </c>
      <c r="L1" s="50">
        <v>117520</v>
      </c>
      <c r="M1" s="52" t="s">
        <v>62</v>
      </c>
      <c r="N1" s="52" t="s">
        <v>63</v>
      </c>
      <c r="O1" s="41"/>
      <c r="P1" s="57" t="s">
        <v>55</v>
      </c>
      <c r="Q1" s="41" t="s">
        <v>56</v>
      </c>
      <c r="R1" s="41" t="s">
        <v>9</v>
      </c>
      <c r="S1" s="41" t="s">
        <v>54</v>
      </c>
      <c r="T1" s="41" t="s">
        <v>41</v>
      </c>
      <c r="U1" s="41" t="s">
        <v>42</v>
      </c>
      <c r="V1" s="41" t="s">
        <v>43</v>
      </c>
      <c r="W1" s="41" t="s">
        <v>44</v>
      </c>
      <c r="X1" s="41" t="s">
        <v>10</v>
      </c>
      <c r="Y1" s="41" t="s">
        <v>45</v>
      </c>
      <c r="Z1" s="41" t="s">
        <v>11</v>
      </c>
      <c r="AA1" s="54">
        <v>110900</v>
      </c>
      <c r="AB1" s="55" t="s">
        <v>12</v>
      </c>
    </row>
    <row r="2" spans="1:28" ht="18" customHeight="1" x14ac:dyDescent="0.2">
      <c r="A2" s="60"/>
      <c r="B2" s="60"/>
      <c r="C2" s="60"/>
      <c r="D2" s="11" t="s">
        <v>13</v>
      </c>
      <c r="E2" s="12"/>
      <c r="F2" s="13"/>
      <c r="G2" s="12"/>
      <c r="H2" s="13"/>
      <c r="I2" s="12"/>
      <c r="J2" s="13"/>
      <c r="K2" s="12"/>
      <c r="L2" s="12"/>
      <c r="M2" s="12"/>
      <c r="N2" s="12"/>
      <c r="O2" s="22"/>
      <c r="P2" s="12"/>
      <c r="Q2" s="12"/>
      <c r="R2" s="16"/>
      <c r="S2" s="16"/>
      <c r="T2" s="16"/>
      <c r="U2" s="16"/>
      <c r="V2" s="16"/>
      <c r="W2" s="16"/>
      <c r="X2" s="16"/>
      <c r="Y2" s="16"/>
      <c r="Z2" s="17"/>
      <c r="AA2" s="18"/>
      <c r="AB2" s="19"/>
    </row>
    <row r="3" spans="1:28" ht="18" customHeight="1" x14ac:dyDescent="0.2">
      <c r="A3" s="65">
        <v>1</v>
      </c>
      <c r="B3" s="65" t="s">
        <v>71</v>
      </c>
      <c r="C3" s="61">
        <v>2102</v>
      </c>
      <c r="D3" s="21" t="s">
        <v>14</v>
      </c>
      <c r="E3" s="25">
        <v>1505.5</v>
      </c>
      <c r="F3" s="63">
        <f t="shared" ref="F3:F10" si="0">E3/30</f>
        <v>50.18333333333333</v>
      </c>
      <c r="G3" s="25">
        <v>69.38</v>
      </c>
      <c r="H3" s="23">
        <f t="shared" ref="H3:H10" si="1">G3/30</f>
        <v>2.3126666666666664</v>
      </c>
      <c r="I3" s="22"/>
      <c r="J3" s="24"/>
      <c r="K3" s="22"/>
      <c r="L3" s="22"/>
      <c r="M3" s="15">
        <f t="shared" ref="M3:M10" si="2">+K3+I3+G3+E3</f>
        <v>1574.88</v>
      </c>
      <c r="N3" s="15">
        <f>((E3+K3)*14)+((G3+I3)*12)+120</f>
        <v>22029.56</v>
      </c>
      <c r="O3" s="22"/>
      <c r="P3" s="46"/>
      <c r="Q3" s="22"/>
      <c r="R3" s="22">
        <f>('SERVISECURITAS 2009'!O3*0.8/100)+'SERVISECURITAS 2009'!O3</f>
        <v>0.22486464</v>
      </c>
      <c r="S3" s="22"/>
      <c r="T3" s="22">
        <f>('SERVISECURITAS 2009'!Q3*0.8/100)+'SERVISECURITAS 2009'!Q3</f>
        <v>8.0542425600000005</v>
      </c>
      <c r="U3" s="22">
        <f>('SERVISECURITAS 2009'!R3*0.8/100)+'SERVISECURITAS 2009'!R3</f>
        <v>13.440772800000001</v>
      </c>
      <c r="V3" s="22">
        <f>('SERVISECURITAS 2009'!S3*0.8/100)+'SERVISECURITAS 2009'!S3</f>
        <v>26.89176672</v>
      </c>
      <c r="W3" s="22">
        <v>24.66</v>
      </c>
      <c r="X3" s="22">
        <f>('SERVISECURITAS 2009'!U3*0.8/100)+'SERVISECURITAS 2009'!U3</f>
        <v>118.96361567999999</v>
      </c>
      <c r="Y3" s="22">
        <f>('SERVISECURITAS 2009'!V3*0.8/100)+'SERVISECURITAS 2009'!V3</f>
        <v>102.21120000000001</v>
      </c>
      <c r="Z3" s="22">
        <f>+E3*0.05</f>
        <v>75.275000000000006</v>
      </c>
      <c r="AA3" s="58">
        <f t="shared" ref="AA3:AA10" si="3">Z3/30</f>
        <v>2.5091666666666668</v>
      </c>
      <c r="AB3" s="22">
        <f>('SERVISECURITAS 2009'!Y3*0.8/100)+'SERVISECURITAS 2009'!Y3</f>
        <v>47.896168319999994</v>
      </c>
    </row>
    <row r="4" spans="1:28" ht="18" customHeight="1" x14ac:dyDescent="0.2">
      <c r="A4" s="65">
        <v>1</v>
      </c>
      <c r="B4" s="65" t="s">
        <v>71</v>
      </c>
      <c r="C4" s="61">
        <v>2105</v>
      </c>
      <c r="D4" s="21" t="s">
        <v>15</v>
      </c>
      <c r="E4" s="25">
        <v>1431.06</v>
      </c>
      <c r="F4" s="63">
        <f t="shared" si="0"/>
        <v>47.701999999999998</v>
      </c>
      <c r="G4" s="25">
        <v>69.38</v>
      </c>
      <c r="H4" s="23">
        <f t="shared" si="1"/>
        <v>2.3126666666666664</v>
      </c>
      <c r="I4" s="22"/>
      <c r="J4" s="24"/>
      <c r="K4" s="22"/>
      <c r="L4" s="22"/>
      <c r="M4" s="15">
        <f t="shared" si="2"/>
        <v>1500.44</v>
      </c>
      <c r="N4" s="15">
        <f t="shared" ref="N4:N10" si="4">((E4+K4)*14)+((G4+I4)*12)+120</f>
        <v>20987.4</v>
      </c>
      <c r="O4" s="22"/>
      <c r="P4" s="46"/>
      <c r="Q4" s="22"/>
      <c r="R4" s="22">
        <f>('SERVISECURITAS 2009'!O4*0.8/100)+'SERVISECURITAS 2009'!O4</f>
        <v>0.22486464</v>
      </c>
      <c r="S4" s="22"/>
      <c r="T4" s="22">
        <f>('SERVISECURITAS 2009'!Q4*0.8/100)+'SERVISECURITAS 2009'!Q4</f>
        <v>8.0542425600000005</v>
      </c>
      <c r="U4" s="22">
        <f>('SERVISECURITAS 2009'!R4*0.8/100)+'SERVISECURITAS 2009'!R4</f>
        <v>13.440772800000001</v>
      </c>
      <c r="V4" s="22">
        <f>('SERVISECURITAS 2009'!S4*0.8/100)+'SERVISECURITAS 2009'!S4</f>
        <v>26.89176672</v>
      </c>
      <c r="W4" s="22">
        <v>24.66</v>
      </c>
      <c r="X4" s="22">
        <f>('SERVISECURITAS 2009'!U4*0.8/100)+'SERVISECURITAS 2009'!U4</f>
        <v>118.96361567999999</v>
      </c>
      <c r="Y4" s="22">
        <f>('SERVISECURITAS 2009'!V4*0.8/100)+'SERVISECURITAS 2009'!V4</f>
        <v>102.21120000000001</v>
      </c>
      <c r="Z4" s="22">
        <f t="shared" ref="Z4:Z10" si="5">+E4*0.05</f>
        <v>71.552999999999997</v>
      </c>
      <c r="AA4" s="58">
        <f t="shared" si="3"/>
        <v>2.3851</v>
      </c>
      <c r="AB4" s="22">
        <f>('SERVISECURITAS 2009'!Y4*0.8/100)+'SERVISECURITAS 2009'!Y4</f>
        <v>47.896168319999994</v>
      </c>
    </row>
    <row r="5" spans="1:28" ht="18" customHeight="1" x14ac:dyDescent="0.2">
      <c r="A5" s="65">
        <v>1</v>
      </c>
      <c r="B5" s="65" t="s">
        <v>71</v>
      </c>
      <c r="C5" s="61">
        <v>2109</v>
      </c>
      <c r="D5" s="21" t="s">
        <v>16</v>
      </c>
      <c r="E5" s="25">
        <v>1431.06</v>
      </c>
      <c r="F5" s="63">
        <f t="shared" si="0"/>
        <v>47.701999999999998</v>
      </c>
      <c r="G5" s="25">
        <v>69.38</v>
      </c>
      <c r="H5" s="23">
        <f t="shared" si="1"/>
        <v>2.3126666666666664</v>
      </c>
      <c r="I5" s="22"/>
      <c r="J5" s="24"/>
      <c r="K5" s="22"/>
      <c r="L5" s="22"/>
      <c r="M5" s="15">
        <f t="shared" si="2"/>
        <v>1500.44</v>
      </c>
      <c r="N5" s="15">
        <f t="shared" si="4"/>
        <v>20987.4</v>
      </c>
      <c r="O5" s="22"/>
      <c r="P5" s="46"/>
      <c r="Q5" s="22"/>
      <c r="R5" s="22">
        <f>('SERVISECURITAS 2009'!O5*0.8/100)+'SERVISECURITAS 2009'!O5</f>
        <v>0.22486464</v>
      </c>
      <c r="S5" s="22"/>
      <c r="T5" s="22">
        <f>('SERVISECURITAS 2009'!Q5*0.8/100)+'SERVISECURITAS 2009'!Q5</f>
        <v>8.0542425600000005</v>
      </c>
      <c r="U5" s="22">
        <f>('SERVISECURITAS 2009'!R5*0.8/100)+'SERVISECURITAS 2009'!R5</f>
        <v>13.440772800000001</v>
      </c>
      <c r="V5" s="22">
        <f>('SERVISECURITAS 2009'!S5*0.8/100)+'SERVISECURITAS 2009'!S5</f>
        <v>26.89176672</v>
      </c>
      <c r="W5" s="22">
        <v>24.66</v>
      </c>
      <c r="X5" s="22">
        <f>('SERVISECURITAS 2009'!U5*0.8/100)+'SERVISECURITAS 2009'!U5</f>
        <v>118.96361567999999</v>
      </c>
      <c r="Y5" s="22">
        <f>('SERVISECURITAS 2009'!V5*0.8/100)+'SERVISECURITAS 2009'!V5</f>
        <v>102.21120000000001</v>
      </c>
      <c r="Z5" s="22">
        <f t="shared" si="5"/>
        <v>71.552999999999997</v>
      </c>
      <c r="AA5" s="58">
        <f t="shared" si="3"/>
        <v>2.3851</v>
      </c>
      <c r="AB5" s="22">
        <f>('SERVISECURITAS 2009'!Y5*0.8/100)+'SERVISECURITAS 2009'!Y5</f>
        <v>47.896168319999994</v>
      </c>
    </row>
    <row r="6" spans="1:28" ht="18" customHeight="1" x14ac:dyDescent="0.2">
      <c r="A6" s="65">
        <v>1</v>
      </c>
      <c r="B6" s="65" t="s">
        <v>71</v>
      </c>
      <c r="C6" s="61">
        <v>2103</v>
      </c>
      <c r="D6" s="21" t="s">
        <v>46</v>
      </c>
      <c r="E6" s="25">
        <v>1431.06</v>
      </c>
      <c r="F6" s="63">
        <f t="shared" si="0"/>
        <v>47.701999999999998</v>
      </c>
      <c r="G6" s="25">
        <v>69.38</v>
      </c>
      <c r="H6" s="23">
        <f t="shared" si="1"/>
        <v>2.3126666666666664</v>
      </c>
      <c r="I6" s="22"/>
      <c r="J6" s="24"/>
      <c r="K6" s="22"/>
      <c r="L6" s="22"/>
      <c r="M6" s="15">
        <f t="shared" si="2"/>
        <v>1500.44</v>
      </c>
      <c r="N6" s="15">
        <f t="shared" si="4"/>
        <v>20987.4</v>
      </c>
      <c r="O6" s="22"/>
      <c r="P6" s="46"/>
      <c r="Q6" s="22"/>
      <c r="R6" s="22">
        <f>('SERVISECURITAS 2009'!O6*0.8/100)+'SERVISECURITAS 2009'!O6</f>
        <v>0.22486464</v>
      </c>
      <c r="S6" s="22"/>
      <c r="T6" s="22">
        <f>('SERVISECURITAS 2009'!Q6*0.8/100)+'SERVISECURITAS 2009'!Q6</f>
        <v>8.0542425600000005</v>
      </c>
      <c r="U6" s="22">
        <f>('SERVISECURITAS 2009'!R6*0.8/100)+'SERVISECURITAS 2009'!R6</f>
        <v>13.440772800000001</v>
      </c>
      <c r="V6" s="22">
        <f>('SERVISECURITAS 2009'!S6*0.8/100)+'SERVISECURITAS 2009'!S6</f>
        <v>26.89176672</v>
      </c>
      <c r="W6" s="22">
        <v>24.66</v>
      </c>
      <c r="X6" s="22">
        <f>('SERVISECURITAS 2009'!U6*0.8/100)+'SERVISECURITAS 2009'!U6</f>
        <v>118.96361567999999</v>
      </c>
      <c r="Y6" s="22">
        <f>('SERVISECURITAS 2009'!V6*0.8/100)+'SERVISECURITAS 2009'!V6</f>
        <v>102.21120000000001</v>
      </c>
      <c r="Z6" s="22">
        <f t="shared" si="5"/>
        <v>71.552999999999997</v>
      </c>
      <c r="AA6" s="58">
        <f t="shared" si="3"/>
        <v>2.3851</v>
      </c>
      <c r="AB6" s="22">
        <f>('SERVISECURITAS 2009'!Y6*0.8/100)+'SERVISECURITAS 2009'!Y6</f>
        <v>47.896168319999994</v>
      </c>
    </row>
    <row r="7" spans="1:28" ht="18" customHeight="1" x14ac:dyDescent="0.2">
      <c r="A7" s="65">
        <v>3</v>
      </c>
      <c r="B7" s="65" t="s">
        <v>71</v>
      </c>
      <c r="C7" s="61">
        <v>2122</v>
      </c>
      <c r="D7" s="21" t="s">
        <v>17</v>
      </c>
      <c r="E7" s="25">
        <v>1360.49</v>
      </c>
      <c r="F7" s="63">
        <f t="shared" si="0"/>
        <v>45.349666666666664</v>
      </c>
      <c r="G7" s="25">
        <v>69.38</v>
      </c>
      <c r="H7" s="23">
        <f t="shared" si="1"/>
        <v>2.3126666666666664</v>
      </c>
      <c r="I7" s="22"/>
      <c r="J7" s="24"/>
      <c r="K7" s="22"/>
      <c r="L7" s="22"/>
      <c r="M7" s="15">
        <f t="shared" si="2"/>
        <v>1429.87</v>
      </c>
      <c r="N7" s="15">
        <f t="shared" si="4"/>
        <v>19999.420000000002</v>
      </c>
      <c r="O7" s="22"/>
      <c r="P7" s="46"/>
      <c r="Q7" s="22"/>
      <c r="R7" s="22">
        <f>('SERVISECURITAS 2009'!O7*0.8/100)+'SERVISECURITAS 2009'!O7</f>
        <v>0.22486464</v>
      </c>
      <c r="S7" s="22"/>
      <c r="T7" s="22">
        <f>('SERVISECURITAS 2009'!Q7*0.8/100)+'SERVISECURITAS 2009'!Q7</f>
        <v>8.0542425600000005</v>
      </c>
      <c r="U7" s="22">
        <f>('SERVISECURITAS 2009'!R7*0.8/100)+'SERVISECURITAS 2009'!R7</f>
        <v>13.440772800000001</v>
      </c>
      <c r="V7" s="22">
        <f>('SERVISECURITAS 2009'!S7*0.8/100)+'SERVISECURITAS 2009'!S7</f>
        <v>26.89176672</v>
      </c>
      <c r="W7" s="22">
        <v>24.66</v>
      </c>
      <c r="X7" s="22">
        <f>('SERVISECURITAS 2009'!U7*0.8/100)+'SERVISECURITAS 2009'!U7</f>
        <v>118.96361567999999</v>
      </c>
      <c r="Y7" s="22">
        <f>('SERVISECURITAS 2009'!V7*0.8/100)+'SERVISECURITAS 2009'!V7</f>
        <v>102.21120000000001</v>
      </c>
      <c r="Z7" s="22">
        <f t="shared" si="5"/>
        <v>68.024500000000003</v>
      </c>
      <c r="AA7" s="58">
        <f t="shared" si="3"/>
        <v>2.2674833333333333</v>
      </c>
      <c r="AB7" s="22">
        <f>('SERVISECURITAS 2009'!Y7*0.8/100)+'SERVISECURITAS 2009'!Y7</f>
        <v>47.896168319999994</v>
      </c>
    </row>
    <row r="8" spans="1:28" ht="18" customHeight="1" x14ac:dyDescent="0.2">
      <c r="A8" s="65">
        <v>1</v>
      </c>
      <c r="B8" s="65" t="s">
        <v>71</v>
      </c>
      <c r="C8" s="61">
        <v>2126</v>
      </c>
      <c r="D8" s="21" t="s">
        <v>47</v>
      </c>
      <c r="E8" s="25">
        <v>1360.49</v>
      </c>
      <c r="F8" s="63">
        <f t="shared" si="0"/>
        <v>45.349666666666664</v>
      </c>
      <c r="G8" s="25">
        <v>69.38</v>
      </c>
      <c r="H8" s="23">
        <f t="shared" si="1"/>
        <v>2.3126666666666664</v>
      </c>
      <c r="I8" s="22"/>
      <c r="J8" s="24"/>
      <c r="K8" s="22"/>
      <c r="L8" s="22"/>
      <c r="M8" s="15">
        <f t="shared" si="2"/>
        <v>1429.87</v>
      </c>
      <c r="N8" s="15">
        <f t="shared" si="4"/>
        <v>19999.420000000002</v>
      </c>
      <c r="O8" s="22"/>
      <c r="P8" s="46"/>
      <c r="Q8" s="22"/>
      <c r="R8" s="22">
        <f>('SERVISECURITAS 2009'!O8*0.8/100)+'SERVISECURITAS 2009'!O8</f>
        <v>0.22486464</v>
      </c>
      <c r="S8" s="22"/>
      <c r="T8" s="22">
        <f>('SERVISECURITAS 2009'!Q8*0.8/100)+'SERVISECURITAS 2009'!Q8</f>
        <v>8.0542425600000005</v>
      </c>
      <c r="U8" s="22">
        <f>('SERVISECURITAS 2009'!R8*0.8/100)+'SERVISECURITAS 2009'!R8</f>
        <v>13.440772800000001</v>
      </c>
      <c r="V8" s="22">
        <f>('SERVISECURITAS 2009'!S8*0.8/100)+'SERVISECURITAS 2009'!S8</f>
        <v>26.89176672</v>
      </c>
      <c r="W8" s="22">
        <v>24.66</v>
      </c>
      <c r="X8" s="22">
        <f>('SERVISECURITAS 2009'!U8*0.8/100)+'SERVISECURITAS 2009'!U8</f>
        <v>118.96361567999999</v>
      </c>
      <c r="Y8" s="22">
        <f>('SERVISECURITAS 2009'!V8*0.8/100)+'SERVISECURITAS 2009'!V8</f>
        <v>102.21120000000001</v>
      </c>
      <c r="Z8" s="22">
        <f t="shared" si="5"/>
        <v>68.024500000000003</v>
      </c>
      <c r="AA8" s="58">
        <f t="shared" si="3"/>
        <v>2.2674833333333333</v>
      </c>
      <c r="AB8" s="22">
        <f>('SERVISECURITAS 2009'!Y8*0.8/100)+'SERVISECURITAS 2009'!Y8</f>
        <v>47.896168319999994</v>
      </c>
    </row>
    <row r="9" spans="1:28" ht="18" customHeight="1" x14ac:dyDescent="0.2">
      <c r="A9" s="65">
        <v>1</v>
      </c>
      <c r="B9" s="65" t="s">
        <v>71</v>
      </c>
      <c r="C9" s="61">
        <v>2113</v>
      </c>
      <c r="D9" s="21" t="s">
        <v>18</v>
      </c>
      <c r="E9" s="25">
        <v>1360.49</v>
      </c>
      <c r="F9" s="63">
        <f t="shared" si="0"/>
        <v>45.349666666666664</v>
      </c>
      <c r="G9" s="25">
        <v>69.38</v>
      </c>
      <c r="H9" s="23">
        <f t="shared" si="1"/>
        <v>2.3126666666666664</v>
      </c>
      <c r="I9" s="22"/>
      <c r="J9" s="24"/>
      <c r="K9" s="22"/>
      <c r="L9" s="22"/>
      <c r="M9" s="15">
        <f t="shared" si="2"/>
        <v>1429.87</v>
      </c>
      <c r="N9" s="15">
        <f t="shared" si="4"/>
        <v>19999.420000000002</v>
      </c>
      <c r="O9" s="22"/>
      <c r="P9" s="46"/>
      <c r="Q9" s="22"/>
      <c r="R9" s="22">
        <f>('SERVISECURITAS 2009'!O9*0.8/100)+'SERVISECURITAS 2009'!O9</f>
        <v>0.22486464</v>
      </c>
      <c r="S9" s="22"/>
      <c r="T9" s="22">
        <f>('SERVISECURITAS 2009'!Q9*0.8/100)+'SERVISECURITAS 2009'!Q9</f>
        <v>8.0542425600000005</v>
      </c>
      <c r="U9" s="22">
        <f>('SERVISECURITAS 2009'!R9*0.8/100)+'SERVISECURITAS 2009'!R9</f>
        <v>13.440772800000001</v>
      </c>
      <c r="V9" s="22">
        <f>('SERVISECURITAS 2009'!S9*0.8/100)+'SERVISECURITAS 2009'!S9</f>
        <v>26.89176672</v>
      </c>
      <c r="W9" s="22">
        <v>24.66</v>
      </c>
      <c r="X9" s="22">
        <f>('SERVISECURITAS 2009'!U9*0.8/100)+'SERVISECURITAS 2009'!U9</f>
        <v>118.96361567999999</v>
      </c>
      <c r="Y9" s="22">
        <f>('SERVISECURITAS 2009'!V9*0.8/100)+'SERVISECURITAS 2009'!V9</f>
        <v>102.21120000000001</v>
      </c>
      <c r="Z9" s="22">
        <f t="shared" si="5"/>
        <v>68.024500000000003</v>
      </c>
      <c r="AA9" s="58">
        <f t="shared" si="3"/>
        <v>2.2674833333333333</v>
      </c>
      <c r="AB9" s="22">
        <f>('SERVISECURITAS 2009'!Y9*0.8/100)+'SERVISECURITAS 2009'!Y9</f>
        <v>47.896168319999994</v>
      </c>
    </row>
    <row r="10" spans="1:28" ht="18" customHeight="1" x14ac:dyDescent="0.2">
      <c r="A10" s="65">
        <v>2</v>
      </c>
      <c r="B10" s="65" t="s">
        <v>71</v>
      </c>
      <c r="C10" s="61">
        <v>2114</v>
      </c>
      <c r="D10" s="21" t="s">
        <v>19</v>
      </c>
      <c r="E10" s="25">
        <v>1293.48</v>
      </c>
      <c r="F10" s="63">
        <f t="shared" si="0"/>
        <v>43.116</v>
      </c>
      <c r="G10" s="25">
        <v>69.38</v>
      </c>
      <c r="H10" s="23">
        <f t="shared" si="1"/>
        <v>2.3126666666666664</v>
      </c>
      <c r="I10" s="22"/>
      <c r="J10" s="24"/>
      <c r="K10" s="22"/>
      <c r="L10" s="22"/>
      <c r="M10" s="15">
        <f t="shared" si="2"/>
        <v>1362.8600000000001</v>
      </c>
      <c r="N10" s="15">
        <f t="shared" si="4"/>
        <v>19061.280000000002</v>
      </c>
      <c r="O10" s="22"/>
      <c r="P10" s="46"/>
      <c r="Q10" s="22"/>
      <c r="R10" s="22">
        <f>('SERVISECURITAS 2009'!O10*0.8/100)+'SERVISECURITAS 2009'!O10</f>
        <v>0.22486464</v>
      </c>
      <c r="S10" s="22"/>
      <c r="T10" s="22">
        <f>('SERVISECURITAS 2009'!Q10*0.8/100)+'SERVISECURITAS 2009'!Q10</f>
        <v>8.0542425600000005</v>
      </c>
      <c r="U10" s="22">
        <f>('SERVISECURITAS 2009'!R10*0.8/100)+'SERVISECURITAS 2009'!R10</f>
        <v>13.440772800000001</v>
      </c>
      <c r="V10" s="22">
        <f>('SERVISECURITAS 2009'!S10*0.8/100)+'SERVISECURITAS 2009'!S10</f>
        <v>26.89176672</v>
      </c>
      <c r="W10" s="22">
        <v>24.66</v>
      </c>
      <c r="X10" s="22">
        <f>('SERVISECURITAS 2009'!U10*0.8/100)+'SERVISECURITAS 2009'!U10</f>
        <v>118.96361567999999</v>
      </c>
      <c r="Y10" s="22">
        <f>('SERVISECURITAS 2009'!V10*0.8/100)+'SERVISECURITAS 2009'!V10</f>
        <v>102.21120000000001</v>
      </c>
      <c r="Z10" s="22">
        <f t="shared" si="5"/>
        <v>64.674000000000007</v>
      </c>
      <c r="AA10" s="58">
        <f t="shared" si="3"/>
        <v>2.1558000000000002</v>
      </c>
      <c r="AB10" s="22">
        <f>('SERVISECURITAS 2009'!Y10*0.8/100)+'SERVISECURITAS 2009'!Y10</f>
        <v>47.896168319999994</v>
      </c>
    </row>
    <row r="11" spans="1:28" ht="18" customHeight="1" x14ac:dyDescent="0.2">
      <c r="A11" s="66"/>
      <c r="B11" s="66"/>
      <c r="C11" s="60"/>
      <c r="D11" s="27" t="s">
        <v>20</v>
      </c>
      <c r="E11" s="28"/>
      <c r="F11" s="29"/>
      <c r="G11" s="28"/>
      <c r="H11" s="29"/>
      <c r="I11" s="12"/>
      <c r="J11" s="13"/>
      <c r="K11" s="12"/>
      <c r="L11" s="12"/>
      <c r="M11" s="12"/>
      <c r="N11" s="28"/>
      <c r="O11" s="47"/>
      <c r="P11" s="18"/>
      <c r="Q11" s="22"/>
      <c r="R11" s="22"/>
      <c r="S11" s="22"/>
      <c r="T11" s="22"/>
      <c r="U11" s="22"/>
      <c r="V11" s="22"/>
      <c r="W11" s="22"/>
      <c r="X11" s="22"/>
      <c r="Y11" s="28"/>
      <c r="Z11" s="22"/>
      <c r="AA11" s="30"/>
      <c r="AB11" s="22"/>
    </row>
    <row r="12" spans="1:28" ht="18" customHeight="1" x14ac:dyDescent="0.2">
      <c r="A12" s="65">
        <v>3</v>
      </c>
      <c r="B12" s="65" t="s">
        <v>71</v>
      </c>
      <c r="C12" s="61">
        <v>2201</v>
      </c>
      <c r="D12" s="21" t="s">
        <v>21</v>
      </c>
      <c r="E12" s="25">
        <v>1300.26</v>
      </c>
      <c r="F12" s="63">
        <f t="shared" ref="F12:F21" si="6">E12/30</f>
        <v>43.341999999999999</v>
      </c>
      <c r="G12" s="25">
        <v>69.38</v>
      </c>
      <c r="H12" s="23">
        <f t="shared" ref="H12:H21" si="7">G12/30</f>
        <v>2.3126666666666664</v>
      </c>
      <c r="I12" s="22"/>
      <c r="J12" s="24"/>
      <c r="K12" s="22"/>
      <c r="L12" s="22"/>
      <c r="M12" s="15">
        <f t="shared" ref="M12:M21" si="8">+K12+I12+G12+E12</f>
        <v>1369.6399999999999</v>
      </c>
      <c r="N12" s="15">
        <f t="shared" ref="N12:N21" si="9">((E12+K12)*14)+((G12+I12)*12)+120</f>
        <v>19156.2</v>
      </c>
      <c r="O12" s="22"/>
      <c r="P12" s="22">
        <v>15.18</v>
      </c>
      <c r="Q12" s="22">
        <v>2.02</v>
      </c>
      <c r="R12" s="22">
        <f>('SERVISECURITAS 2009'!O12*0.8/100)+'SERVISECURITAS 2009'!O12</f>
        <v>0.22486464</v>
      </c>
      <c r="S12" s="22">
        <f>'SERVISECURITAS 2009'!P12*0.8/100+'SERVISECURITAS 2009'!P12</f>
        <v>0.252</v>
      </c>
      <c r="T12" s="22">
        <f>('SERVISECURITAS 2009'!Q12*0.8/100)+'SERVISECURITAS 2009'!Q12</f>
        <v>8.0542425600000005</v>
      </c>
      <c r="U12" s="22">
        <f>('SERVISECURITAS 2009'!R12*0.8/100)+'SERVISECURITAS 2009'!R12</f>
        <v>13.440772800000001</v>
      </c>
      <c r="V12" s="22">
        <f>('SERVISECURITAS 2009'!S12*0.8/100)+'SERVISECURITAS 2009'!S12</f>
        <v>26.89176672</v>
      </c>
      <c r="W12" s="22">
        <v>24.66</v>
      </c>
      <c r="X12" s="22">
        <f>('SERVISECURITAS 2009'!U12*0.8/100)+'SERVISECURITAS 2009'!U12</f>
        <v>118.96361567999999</v>
      </c>
      <c r="Y12" s="22">
        <f>('SERVISECURITAS 2009'!V12*0.8/100)+'SERVISECURITAS 2009'!V12</f>
        <v>102.21120000000001</v>
      </c>
      <c r="Z12" s="22">
        <f t="shared" ref="Z12:Z21" si="10">+E12*0.05</f>
        <v>65.013000000000005</v>
      </c>
      <c r="AA12" s="58">
        <f t="shared" ref="AA12:AA21" si="11">Z12/30</f>
        <v>2.1671</v>
      </c>
      <c r="AB12" s="22">
        <f>('SERVISECURITAS 2009'!Y12*0.8/100)+'SERVISECURITAS 2009'!Y12</f>
        <v>47.896168319999994</v>
      </c>
    </row>
    <row r="13" spans="1:28" ht="18" customHeight="1" x14ac:dyDescent="0.2">
      <c r="A13" s="65">
        <v>3</v>
      </c>
      <c r="B13" s="65" t="s">
        <v>72</v>
      </c>
      <c r="C13" s="61">
        <v>2120</v>
      </c>
      <c r="D13" s="21" t="s">
        <v>48</v>
      </c>
      <c r="E13" s="25">
        <v>1300.26</v>
      </c>
      <c r="F13" s="63">
        <f t="shared" si="6"/>
        <v>43.341999999999999</v>
      </c>
      <c r="G13" s="25">
        <v>69.38</v>
      </c>
      <c r="H13" s="23">
        <f t="shared" si="7"/>
        <v>2.3126666666666664</v>
      </c>
      <c r="I13" s="22"/>
      <c r="J13" s="24"/>
      <c r="K13" s="22"/>
      <c r="L13" s="22"/>
      <c r="M13" s="15">
        <f t="shared" si="8"/>
        <v>1369.6399999999999</v>
      </c>
      <c r="N13" s="15">
        <f t="shared" si="9"/>
        <v>19156.2</v>
      </c>
      <c r="O13" s="22"/>
      <c r="P13" s="22">
        <v>15.18</v>
      </c>
      <c r="Q13" s="22">
        <v>2.02</v>
      </c>
      <c r="R13" s="22">
        <f>('SERVISECURITAS 2009'!O13*0.8/100)+'SERVISECURITAS 2009'!O13</f>
        <v>0.22486464</v>
      </c>
      <c r="S13" s="22">
        <f>'SERVISECURITAS 2009'!P13*0.8/100+'SERVISECURITAS 2009'!P13</f>
        <v>0.252</v>
      </c>
      <c r="T13" s="22">
        <f>('SERVISECURITAS 2009'!Q13*0.8/100)+'SERVISECURITAS 2009'!Q13</f>
        <v>8.0542425600000005</v>
      </c>
      <c r="U13" s="22">
        <f>('SERVISECURITAS 2009'!R13*0.8/100)+'SERVISECURITAS 2009'!R13</f>
        <v>13.440772800000001</v>
      </c>
      <c r="V13" s="22">
        <f>('SERVISECURITAS 2009'!S13*0.8/100)+'SERVISECURITAS 2009'!S13</f>
        <v>26.89176672</v>
      </c>
      <c r="W13" s="22">
        <v>24.66</v>
      </c>
      <c r="X13" s="22">
        <f>('SERVISECURITAS 2009'!U13*0.8/100)+'SERVISECURITAS 2009'!U13</f>
        <v>118.96361567999999</v>
      </c>
      <c r="Y13" s="22">
        <f>('SERVISECURITAS 2009'!V13*0.8/100)+'SERVISECURITAS 2009'!V13</f>
        <v>102.21120000000001</v>
      </c>
      <c r="Z13" s="22">
        <f t="shared" si="10"/>
        <v>65.013000000000005</v>
      </c>
      <c r="AA13" s="58">
        <f t="shared" si="11"/>
        <v>2.1671</v>
      </c>
      <c r="AB13" s="22">
        <f>('SERVISECURITAS 2009'!Y13*0.8/100)+'SERVISECURITAS 2009'!Y13</f>
        <v>47.896168319999994</v>
      </c>
    </row>
    <row r="14" spans="1:28" ht="18" customHeight="1" x14ac:dyDescent="0.2">
      <c r="A14" s="65">
        <v>5</v>
      </c>
      <c r="B14" s="65" t="s">
        <v>72</v>
      </c>
      <c r="C14" s="61">
        <v>2207</v>
      </c>
      <c r="D14" s="21" t="s">
        <v>49</v>
      </c>
      <c r="E14" s="25">
        <v>966.21999999999991</v>
      </c>
      <c r="F14" s="63">
        <f t="shared" si="6"/>
        <v>32.207333333333331</v>
      </c>
      <c r="G14" s="25">
        <v>69.38</v>
      </c>
      <c r="H14" s="23">
        <f t="shared" si="7"/>
        <v>2.3126666666666664</v>
      </c>
      <c r="I14" s="22"/>
      <c r="J14" s="24"/>
      <c r="K14" s="22"/>
      <c r="L14" s="22"/>
      <c r="M14" s="15">
        <f t="shared" si="8"/>
        <v>1035.5999999999999</v>
      </c>
      <c r="N14" s="15">
        <f t="shared" si="9"/>
        <v>14479.639999999998</v>
      </c>
      <c r="O14" s="22"/>
      <c r="P14" s="22">
        <v>11.24</v>
      </c>
      <c r="Q14" s="22">
        <v>1.49</v>
      </c>
      <c r="R14" s="22">
        <f>('SERVISECURITAS 2009'!O14*0.8/100)+'SERVISECURITAS 2009'!O14</f>
        <v>0.22486464</v>
      </c>
      <c r="S14" s="22">
        <f>'SERVISECURITAS 2009'!P14*0.8/100+'SERVISECURITAS 2009'!P14</f>
        <v>0.252</v>
      </c>
      <c r="T14" s="22">
        <f>('SERVISECURITAS 2009'!Q14*0.8/100)+'SERVISECURITAS 2009'!Q14</f>
        <v>8.0542425600000005</v>
      </c>
      <c r="U14" s="22">
        <f>('SERVISECURITAS 2009'!R14*0.8/100)+'SERVISECURITAS 2009'!R14</f>
        <v>13.440772800000001</v>
      </c>
      <c r="V14" s="22">
        <f>('SERVISECURITAS 2009'!S14*0.8/100)+'SERVISECURITAS 2009'!S14</f>
        <v>26.89176672</v>
      </c>
      <c r="W14" s="22">
        <v>24.66</v>
      </c>
      <c r="X14" s="22">
        <f>('SERVISECURITAS 2009'!U14*0.8/100)+'SERVISECURITAS 2009'!U14</f>
        <v>118.96361567999999</v>
      </c>
      <c r="Y14" s="22">
        <f>('SERVISECURITAS 2009'!V14*0.8/100)+'SERVISECURITAS 2009'!V14</f>
        <v>102.21120000000001</v>
      </c>
      <c r="Z14" s="22">
        <f t="shared" si="10"/>
        <v>48.311</v>
      </c>
      <c r="AA14" s="58">
        <f t="shared" si="11"/>
        <v>1.6103666666666667</v>
      </c>
      <c r="AB14" s="22">
        <f>('SERVISECURITAS 2009'!Y14*0.8/100)+'SERVISECURITAS 2009'!Y14</f>
        <v>47.896168319999994</v>
      </c>
    </row>
    <row r="15" spans="1:28" ht="18" customHeight="1" x14ac:dyDescent="0.2">
      <c r="A15" s="65">
        <v>3</v>
      </c>
      <c r="B15" s="65" t="s">
        <v>71</v>
      </c>
      <c r="C15" s="61">
        <v>2202</v>
      </c>
      <c r="D15" s="21" t="s">
        <v>22</v>
      </c>
      <c r="E15" s="25">
        <v>1164.0999999999999</v>
      </c>
      <c r="F15" s="63">
        <f t="shared" si="6"/>
        <v>38.803333333333327</v>
      </c>
      <c r="G15" s="25">
        <v>69.38</v>
      </c>
      <c r="H15" s="23">
        <f t="shared" si="7"/>
        <v>2.3126666666666664</v>
      </c>
      <c r="I15" s="22"/>
      <c r="J15" s="24"/>
      <c r="K15" s="22"/>
      <c r="L15" s="22"/>
      <c r="M15" s="15">
        <f t="shared" si="8"/>
        <v>1233.48</v>
      </c>
      <c r="N15" s="15">
        <f t="shared" si="9"/>
        <v>17249.96</v>
      </c>
      <c r="O15" s="22"/>
      <c r="P15" s="22">
        <v>14.96</v>
      </c>
      <c r="Q15" s="22">
        <v>1.79</v>
      </c>
      <c r="R15" s="22">
        <f>('SERVISECURITAS 2009'!O15*0.8/100)+'SERVISECURITAS 2009'!O15</f>
        <v>0.22486464</v>
      </c>
      <c r="S15" s="22">
        <f>'SERVISECURITAS 2009'!P15*0.8/100+'SERVISECURITAS 2009'!P15</f>
        <v>0.252</v>
      </c>
      <c r="T15" s="22">
        <f>('SERVISECURITAS 2009'!Q15*0.8/100)+'SERVISECURITAS 2009'!Q15</f>
        <v>8.0542425600000005</v>
      </c>
      <c r="U15" s="22">
        <f>('SERVISECURITAS 2009'!R15*0.8/100)+'SERVISECURITAS 2009'!R15</f>
        <v>13.440772800000001</v>
      </c>
      <c r="V15" s="22">
        <f>('SERVISECURITAS 2009'!S15*0.8/100)+'SERVISECURITAS 2009'!S15</f>
        <v>26.89176672</v>
      </c>
      <c r="W15" s="22">
        <v>24.66</v>
      </c>
      <c r="X15" s="22">
        <f>('SERVISECURITAS 2009'!U15*0.8/100)+'SERVISECURITAS 2009'!U15</f>
        <v>118.96361567999999</v>
      </c>
      <c r="Y15" s="22">
        <f>('SERVISECURITAS 2009'!V15*0.8/100)+'SERVISECURITAS 2009'!V15</f>
        <v>102.21120000000001</v>
      </c>
      <c r="Z15" s="22">
        <f t="shared" si="10"/>
        <v>58.204999999999998</v>
      </c>
      <c r="AA15" s="58">
        <f t="shared" si="11"/>
        <v>1.9401666666666666</v>
      </c>
      <c r="AB15" s="22">
        <f>('SERVISECURITAS 2009'!Y15*0.8/100)+'SERVISECURITAS 2009'!Y15</f>
        <v>47.896168319999994</v>
      </c>
    </row>
    <row r="16" spans="1:28" ht="18" customHeight="1" x14ac:dyDescent="0.2">
      <c r="A16" s="65">
        <v>5</v>
      </c>
      <c r="B16" s="65" t="s">
        <v>71</v>
      </c>
      <c r="C16" s="61">
        <v>2203</v>
      </c>
      <c r="D16" s="21" t="s">
        <v>23</v>
      </c>
      <c r="E16" s="25">
        <v>958.16</v>
      </c>
      <c r="F16" s="63">
        <f t="shared" si="6"/>
        <v>31.938666666666666</v>
      </c>
      <c r="G16" s="25">
        <v>69.38</v>
      </c>
      <c r="H16" s="23">
        <f t="shared" si="7"/>
        <v>2.3126666666666664</v>
      </c>
      <c r="I16" s="22"/>
      <c r="J16" s="24"/>
      <c r="K16" s="22"/>
      <c r="L16" s="22"/>
      <c r="M16" s="15">
        <f t="shared" si="8"/>
        <v>1027.54</v>
      </c>
      <c r="N16" s="15">
        <f t="shared" si="9"/>
        <v>14366.8</v>
      </c>
      <c r="O16" s="22"/>
      <c r="P16" s="22">
        <v>13.57</v>
      </c>
      <c r="Q16" s="22">
        <v>1.47</v>
      </c>
      <c r="R16" s="22">
        <f>('SERVISECURITAS 2009'!O16*0.8/100)+'SERVISECURITAS 2009'!O16</f>
        <v>0.22486464</v>
      </c>
      <c r="S16" s="22">
        <f>'SERVISECURITAS 2009'!P16*0.8/100+'SERVISECURITAS 2009'!P16</f>
        <v>0.252</v>
      </c>
      <c r="T16" s="22">
        <f>('SERVISECURITAS 2009'!Q16*0.8/100)+'SERVISECURITAS 2009'!Q16</f>
        <v>8.0542425600000005</v>
      </c>
      <c r="U16" s="22">
        <f>('SERVISECURITAS 2009'!R16*0.8/100)+'SERVISECURITAS 2009'!R16</f>
        <v>13.440772800000001</v>
      </c>
      <c r="V16" s="22">
        <f>('SERVISECURITAS 2009'!S16*0.8/100)+'SERVISECURITAS 2009'!S16</f>
        <v>26.89176672</v>
      </c>
      <c r="W16" s="22">
        <v>24.66</v>
      </c>
      <c r="X16" s="22">
        <f>('SERVISECURITAS 2009'!U16*0.8/100)+'SERVISECURITAS 2009'!U16</f>
        <v>118.96361567999999</v>
      </c>
      <c r="Y16" s="22">
        <f>('SERVISECURITAS 2009'!V16*0.8/100)+'SERVISECURITAS 2009'!V16</f>
        <v>102.21120000000001</v>
      </c>
      <c r="Z16" s="22">
        <f t="shared" si="10"/>
        <v>47.908000000000001</v>
      </c>
      <c r="AA16" s="58">
        <f t="shared" si="11"/>
        <v>1.5969333333333333</v>
      </c>
      <c r="AB16" s="22">
        <f>('SERVISECURITAS 2009'!Y16*0.8/100)+'SERVISECURITAS 2009'!Y16</f>
        <v>47.896168319999994</v>
      </c>
    </row>
    <row r="17" spans="1:28" ht="18" customHeight="1" x14ac:dyDescent="0.2">
      <c r="A17" s="65">
        <v>5</v>
      </c>
      <c r="B17" s="65" t="s">
        <v>71</v>
      </c>
      <c r="C17" s="61">
        <v>2204</v>
      </c>
      <c r="D17" s="21" t="s">
        <v>24</v>
      </c>
      <c r="E17" s="25">
        <v>880.20999999999992</v>
      </c>
      <c r="F17" s="63">
        <f t="shared" si="6"/>
        <v>29.34033333333333</v>
      </c>
      <c r="G17" s="25">
        <v>69.38</v>
      </c>
      <c r="H17" s="23">
        <f t="shared" si="7"/>
        <v>2.3126666666666664</v>
      </c>
      <c r="I17" s="22"/>
      <c r="J17" s="24"/>
      <c r="K17" s="22"/>
      <c r="L17" s="22"/>
      <c r="M17" s="15">
        <f t="shared" si="8"/>
        <v>949.58999999999992</v>
      </c>
      <c r="N17" s="15">
        <f t="shared" si="9"/>
        <v>13275.499999999998</v>
      </c>
      <c r="O17" s="22"/>
      <c r="P17" s="22">
        <v>10.18</v>
      </c>
      <c r="Q17" s="22">
        <v>1.35</v>
      </c>
      <c r="R17" s="22">
        <f>('SERVISECURITAS 2009'!O17*0.8/100)+'SERVISECURITAS 2009'!O17</f>
        <v>0.22486464</v>
      </c>
      <c r="S17" s="22">
        <f>'SERVISECURITAS 2009'!P17*0.8/100+'SERVISECURITAS 2009'!P17</f>
        <v>0.252</v>
      </c>
      <c r="T17" s="22">
        <f>('SERVISECURITAS 2009'!Q17*0.8/100)+'SERVISECURITAS 2009'!Q17</f>
        <v>8.0542425600000005</v>
      </c>
      <c r="U17" s="22">
        <f>('SERVISECURITAS 2009'!R17*0.8/100)+'SERVISECURITAS 2009'!R17</f>
        <v>13.440772800000001</v>
      </c>
      <c r="V17" s="22">
        <f>('SERVISECURITAS 2009'!S17*0.8/100)+'SERVISECURITAS 2009'!S17</f>
        <v>26.89176672</v>
      </c>
      <c r="W17" s="22">
        <v>24.66</v>
      </c>
      <c r="X17" s="22">
        <f>('SERVISECURITAS 2009'!U17*0.8/100)+'SERVISECURITAS 2009'!U17</f>
        <v>118.96361567999999</v>
      </c>
      <c r="Y17" s="22">
        <f>('SERVISECURITAS 2009'!V17*0.8/100)+'SERVISECURITAS 2009'!V17</f>
        <v>102.21120000000001</v>
      </c>
      <c r="Z17" s="22">
        <f t="shared" si="10"/>
        <v>44.0105</v>
      </c>
      <c r="AA17" s="58">
        <f t="shared" si="11"/>
        <v>1.4670166666666666</v>
      </c>
      <c r="AB17" s="22">
        <f>('SERVISECURITAS 2009'!Y17*0.8/100)+'SERVISECURITAS 2009'!Y17</f>
        <v>47.896168319999994</v>
      </c>
    </row>
    <row r="18" spans="1:28" ht="18" customHeight="1" x14ac:dyDescent="0.2">
      <c r="A18" s="65">
        <v>7</v>
      </c>
      <c r="B18" s="65" t="s">
        <v>71</v>
      </c>
      <c r="C18" s="61">
        <v>2206</v>
      </c>
      <c r="D18" s="21" t="s">
        <v>25</v>
      </c>
      <c r="E18" s="25">
        <v>692.88</v>
      </c>
      <c r="F18" s="63">
        <f t="shared" si="6"/>
        <v>23.096</v>
      </c>
      <c r="G18" s="25">
        <v>69.38</v>
      </c>
      <c r="H18" s="23">
        <f t="shared" si="7"/>
        <v>2.3126666666666664</v>
      </c>
      <c r="I18" s="22"/>
      <c r="J18" s="24"/>
      <c r="K18" s="22"/>
      <c r="L18" s="22"/>
      <c r="M18" s="15">
        <f t="shared" si="8"/>
        <v>762.26</v>
      </c>
      <c r="N18" s="15">
        <f t="shared" si="9"/>
        <v>10652.88</v>
      </c>
      <c r="O18" s="22"/>
      <c r="P18" s="22">
        <v>7.98</v>
      </c>
      <c r="Q18" s="22">
        <v>1.04</v>
      </c>
      <c r="R18" s="22">
        <f>('SERVISECURITAS 2009'!O18*0.8/100)+'SERVISECURITAS 2009'!O18</f>
        <v>0.22486464</v>
      </c>
      <c r="S18" s="22">
        <v>52</v>
      </c>
      <c r="T18" s="22">
        <f>('SERVISECURITAS 2009'!Q18*0.8/100)+'SERVISECURITAS 2009'!Q18</f>
        <v>8.0542425600000005</v>
      </c>
      <c r="U18" s="22">
        <f>('SERVISECURITAS 2009'!R18*0.8/100)+'SERVISECURITAS 2009'!R18</f>
        <v>13.440772800000001</v>
      </c>
      <c r="V18" s="22">
        <f>('SERVISECURITAS 2009'!S18*0.8/100)+'SERVISECURITAS 2009'!S18</f>
        <v>26.89176672</v>
      </c>
      <c r="W18" s="22">
        <v>24.66</v>
      </c>
      <c r="X18" s="22">
        <f>('SERVISECURITAS 2009'!U18*0.8/100)+'SERVISECURITAS 2009'!U18</f>
        <v>118.96361567999999</v>
      </c>
      <c r="Y18" s="22">
        <f>('SERVISECURITAS 2009'!V18*0.8/100)+'SERVISECURITAS 2009'!V18</f>
        <v>102.21120000000001</v>
      </c>
      <c r="Z18" s="22">
        <f t="shared" si="10"/>
        <v>34.643999999999998</v>
      </c>
      <c r="AA18" s="58">
        <f t="shared" si="11"/>
        <v>1.1548</v>
      </c>
      <c r="AB18" s="22">
        <f>('SERVISECURITAS 2009'!Y18*0.8/100)+'SERVISECURITAS 2009'!Y18</f>
        <v>47.896168319999994</v>
      </c>
    </row>
    <row r="19" spans="1:28" ht="18" customHeight="1" x14ac:dyDescent="0.2">
      <c r="A19" s="65">
        <v>9</v>
      </c>
      <c r="B19" s="65" t="s">
        <v>71</v>
      </c>
      <c r="C19" s="61">
        <v>2210</v>
      </c>
      <c r="D19" s="69" t="s">
        <v>26</v>
      </c>
      <c r="E19" s="71">
        <v>655.20000000000005</v>
      </c>
      <c r="F19" s="72">
        <f t="shared" si="6"/>
        <v>21.84</v>
      </c>
      <c r="G19" s="71">
        <v>57.83</v>
      </c>
      <c r="H19" s="58">
        <f t="shared" si="7"/>
        <v>1.9276666666666666</v>
      </c>
      <c r="I19" s="25"/>
      <c r="J19" s="58"/>
      <c r="K19" s="25"/>
      <c r="L19" s="25"/>
      <c r="M19" s="70">
        <f t="shared" si="8"/>
        <v>713.03000000000009</v>
      </c>
      <c r="N19" s="70">
        <f t="shared" si="9"/>
        <v>9986.760000000002</v>
      </c>
      <c r="O19" s="22"/>
      <c r="P19" s="22">
        <v>5.54</v>
      </c>
      <c r="Q19" s="22">
        <v>0.94</v>
      </c>
      <c r="R19" s="22">
        <f>('SERVISECURITAS 2009'!O19*0.8/100)+'SERVISECURITAS 2009'!O19</f>
        <v>0.22486464</v>
      </c>
      <c r="S19" s="22">
        <f>'SERVISECURITAS 2009'!P19*0.8/100+'SERVISECURITAS 2009'!P19</f>
        <v>0.252</v>
      </c>
      <c r="T19" s="22">
        <f>('SERVISECURITAS 2009'!Q19*0.8/100)+'SERVISECURITAS 2009'!Q19</f>
        <v>8.0542425600000005</v>
      </c>
      <c r="U19" s="22">
        <f>('SERVISECURITAS 2009'!R19*0.8/100)+'SERVISECURITAS 2009'!R19</f>
        <v>13.440772800000001</v>
      </c>
      <c r="V19" s="22">
        <f>('SERVISECURITAS 2009'!S19*0.8/100)+'SERVISECURITAS 2009'!S19</f>
        <v>26.89176672</v>
      </c>
      <c r="W19" s="22">
        <v>24.66</v>
      </c>
      <c r="X19" s="22">
        <f>('SERVISECURITAS 2009'!U19*0.8/100)+'SERVISECURITAS 2009'!U19</f>
        <v>118.96361567999999</v>
      </c>
      <c r="Y19" s="22">
        <f>('SERVISECURITAS 2009'!V19*0.8/100)+'SERVISECURITAS 2009'!V19</f>
        <v>102.21120000000001</v>
      </c>
      <c r="Z19" s="22">
        <f t="shared" si="10"/>
        <v>32.760000000000005</v>
      </c>
      <c r="AA19" s="63">
        <f t="shared" si="11"/>
        <v>1.0920000000000001</v>
      </c>
      <c r="AB19" s="22">
        <f>('SERVISECURITAS 2009'!Y19*0.8/100)+'SERVISECURITAS 2009'!Y19</f>
        <v>47.896168319999994</v>
      </c>
    </row>
    <row r="20" spans="1:28" ht="18" customHeight="1" x14ac:dyDescent="0.2">
      <c r="A20" s="65">
        <v>7</v>
      </c>
      <c r="B20" s="65" t="s">
        <v>72</v>
      </c>
      <c r="C20" s="61">
        <v>2209</v>
      </c>
      <c r="D20" s="21" t="s">
        <v>60</v>
      </c>
      <c r="E20" s="25">
        <v>692.88</v>
      </c>
      <c r="F20" s="63">
        <f>E20/30</f>
        <v>23.096</v>
      </c>
      <c r="G20" s="25">
        <v>69.38</v>
      </c>
      <c r="H20" s="23">
        <f>G20/30</f>
        <v>2.3126666666666664</v>
      </c>
      <c r="I20" s="22"/>
      <c r="J20" s="24"/>
      <c r="K20" s="22"/>
      <c r="L20" s="22"/>
      <c r="M20" s="15">
        <f>+K20+I20+G20+E20</f>
        <v>762.26</v>
      </c>
      <c r="N20" s="15">
        <f>((E20+K20)*14)+((G20+I20)*12)+120</f>
        <v>10652.88</v>
      </c>
      <c r="O20" s="22"/>
      <c r="P20" s="22">
        <v>7.98</v>
      </c>
      <c r="Q20" s="22">
        <v>1.05</v>
      </c>
      <c r="R20" s="22">
        <f>('SERVISECURITAS 2009'!O19*0.8/100)+'SERVISECURITAS 2009'!O19</f>
        <v>0.22486464</v>
      </c>
      <c r="S20" s="22">
        <f>'SERVISECURITAS 2009'!P19*0.8/100+'SERVISECURITAS 2009'!P19</f>
        <v>0.252</v>
      </c>
      <c r="T20" s="22">
        <f>('SERVISECURITAS 2009'!Q19*0.8/100)+'SERVISECURITAS 2009'!Q19</f>
        <v>8.0542425600000005</v>
      </c>
      <c r="U20" s="22">
        <f>('SERVISECURITAS 2009'!R19*0.8/100)+'SERVISECURITAS 2009'!R19</f>
        <v>13.440772800000001</v>
      </c>
      <c r="V20" s="22">
        <f>('SERVISECURITAS 2009'!S19*0.8/100)+'SERVISECURITAS 2009'!S19</f>
        <v>26.89176672</v>
      </c>
      <c r="W20" s="22">
        <v>24.66</v>
      </c>
      <c r="X20" s="22">
        <f>('SERVISECURITAS 2009'!U19*0.8/100)+'SERVISECURITAS 2009'!U19</f>
        <v>118.96361567999999</v>
      </c>
      <c r="Y20" s="22">
        <f>('SERVISECURITAS 2009'!V19*0.8/100)+'SERVISECURITAS 2009'!V19</f>
        <v>102.21120000000001</v>
      </c>
      <c r="Z20" s="22">
        <f>+E20*0.05</f>
        <v>34.643999999999998</v>
      </c>
      <c r="AA20" s="58">
        <f>Z20/30</f>
        <v>1.1548</v>
      </c>
      <c r="AB20" s="22">
        <f>('SERVISECURITAS 2009'!Y19*0.8/100)+'SERVISECURITAS 2009'!Y19</f>
        <v>47.896168319999994</v>
      </c>
    </row>
    <row r="21" spans="1:28" ht="18" customHeight="1" x14ac:dyDescent="0.2">
      <c r="A21" s="65">
        <v>7</v>
      </c>
      <c r="B21" s="65" t="s">
        <v>72</v>
      </c>
      <c r="C21" s="61">
        <v>2216</v>
      </c>
      <c r="D21" s="21" t="s">
        <v>67</v>
      </c>
      <c r="E21" s="25">
        <v>692.88</v>
      </c>
      <c r="F21" s="63">
        <f t="shared" si="6"/>
        <v>23.096</v>
      </c>
      <c r="G21" s="25">
        <v>69.38</v>
      </c>
      <c r="H21" s="23">
        <f t="shared" si="7"/>
        <v>2.3126666666666664</v>
      </c>
      <c r="I21" s="22"/>
      <c r="J21" s="24"/>
      <c r="K21" s="22"/>
      <c r="L21" s="22"/>
      <c r="M21" s="15">
        <f t="shared" si="8"/>
        <v>762.26</v>
      </c>
      <c r="N21" s="15">
        <f t="shared" si="9"/>
        <v>10652.88</v>
      </c>
      <c r="O21" s="22"/>
      <c r="P21" s="22">
        <v>7.98</v>
      </c>
      <c r="Q21" s="22">
        <v>1.05</v>
      </c>
      <c r="R21" s="22">
        <f>('SERVISECURITAS 2009'!O20*0.8/100)+'SERVISECURITAS 2009'!O20</f>
        <v>0.22486464</v>
      </c>
      <c r="S21" s="22">
        <f>'SERVISECURITAS 2009'!P20*0.8/100+'SERVISECURITAS 2009'!P20</f>
        <v>0.252</v>
      </c>
      <c r="T21" s="22">
        <f>('SERVISECURITAS 2009'!Q20*0.8/100)+'SERVISECURITAS 2009'!Q20</f>
        <v>8.0542425600000005</v>
      </c>
      <c r="U21" s="22">
        <f>('SERVISECURITAS 2009'!R20*0.8/100)+'SERVISECURITAS 2009'!R20</f>
        <v>13.440772800000001</v>
      </c>
      <c r="V21" s="22">
        <f>('SERVISECURITAS 2009'!S20*0.8/100)+'SERVISECURITAS 2009'!S20</f>
        <v>26.89176672</v>
      </c>
      <c r="W21" s="22">
        <v>24.66</v>
      </c>
      <c r="X21" s="22">
        <f>('SERVISECURITAS 2009'!U20*0.8/100)+'SERVISECURITAS 2009'!U20</f>
        <v>118.96361567999999</v>
      </c>
      <c r="Y21" s="22">
        <f>('SERVISECURITAS 2009'!V20*0.8/100)+'SERVISECURITAS 2009'!V20</f>
        <v>102.21120000000001</v>
      </c>
      <c r="Z21" s="22">
        <f t="shared" si="10"/>
        <v>34.643999999999998</v>
      </c>
      <c r="AA21" s="58">
        <f t="shared" si="11"/>
        <v>1.1548</v>
      </c>
      <c r="AB21" s="22">
        <f>('SERVISECURITAS 2009'!Y20*0.8/100)+'SERVISECURITAS 2009'!Y20</f>
        <v>47.896168319999994</v>
      </c>
    </row>
    <row r="22" spans="1:28" ht="18" customHeight="1" x14ac:dyDescent="0.2">
      <c r="A22" s="66"/>
      <c r="B22" s="66"/>
      <c r="C22" s="60"/>
      <c r="D22" s="27" t="s">
        <v>28</v>
      </c>
      <c r="E22" s="28"/>
      <c r="F22" s="29"/>
      <c r="G22" s="28"/>
      <c r="H22" s="29"/>
      <c r="I22" s="28"/>
      <c r="J22" s="29"/>
      <c r="K22" s="28"/>
      <c r="L22" s="28"/>
      <c r="M22" s="12"/>
      <c r="N22" s="28"/>
      <c r="O22" s="47"/>
      <c r="P22" s="18"/>
      <c r="Q22" s="22"/>
      <c r="R22" s="22"/>
      <c r="S22" s="22"/>
      <c r="T22" s="22"/>
      <c r="U22" s="22"/>
      <c r="V22" s="22"/>
      <c r="W22" s="22"/>
      <c r="X22" s="22"/>
      <c r="Y22" s="28"/>
      <c r="Z22" s="22"/>
      <c r="AA22" s="30"/>
      <c r="AB22" s="22"/>
    </row>
    <row r="23" spans="1:28" ht="18" customHeight="1" x14ac:dyDescent="0.2">
      <c r="A23" s="65">
        <v>3</v>
      </c>
      <c r="B23" s="65" t="s">
        <v>72</v>
      </c>
      <c r="C23" s="61">
        <v>2504</v>
      </c>
      <c r="D23" s="21" t="s">
        <v>29</v>
      </c>
      <c r="E23" s="22">
        <v>1293.48</v>
      </c>
      <c r="F23" s="23">
        <f>E23/30</f>
        <v>43.116</v>
      </c>
      <c r="G23" s="22">
        <v>69.38</v>
      </c>
      <c r="H23" s="23">
        <f>G23/30</f>
        <v>2.3126666666666664</v>
      </c>
      <c r="I23" s="22"/>
      <c r="J23" s="24"/>
      <c r="K23" s="22"/>
      <c r="L23" s="22"/>
      <c r="M23" s="15">
        <f>+K23+I23+G23+E23</f>
        <v>1362.8600000000001</v>
      </c>
      <c r="N23" s="15">
        <f>((E23+K23)*14)+((G23+I23)*12)+120</f>
        <v>19061.280000000002</v>
      </c>
      <c r="O23" s="22"/>
      <c r="P23" s="22">
        <v>15</v>
      </c>
      <c r="Q23" s="22">
        <v>2.02</v>
      </c>
      <c r="R23" s="22">
        <f>('SERVISECURITAS 2009'!O22*0.8/100)+'SERVISECURITAS 2009'!O22</f>
        <v>0.22486464</v>
      </c>
      <c r="S23" s="22">
        <f>'SERVISECURITAS 2009'!P22*0.8/100+'SERVISECURITAS 2009'!P22</f>
        <v>0.252</v>
      </c>
      <c r="T23" s="22">
        <f>('SERVISECURITAS 2009'!Q22*0.8/100)+'SERVISECURITAS 2009'!Q22</f>
        <v>8.0542425600000005</v>
      </c>
      <c r="U23" s="22">
        <f>('SERVISECURITAS 2009'!R22*0.8/100)+'SERVISECURITAS 2009'!R22</f>
        <v>13.440772800000001</v>
      </c>
      <c r="V23" s="22">
        <f>('SERVISECURITAS 2009'!S22*0.8/100)+'SERVISECURITAS 2009'!S22</f>
        <v>26.89176672</v>
      </c>
      <c r="W23" s="22">
        <v>24.66</v>
      </c>
      <c r="X23" s="22">
        <f>('SERVISECURITAS 2009'!U22*0.8/100)+'SERVISECURITAS 2009'!U22</f>
        <v>118.96361567999999</v>
      </c>
      <c r="Y23" s="22">
        <f>('SERVISECURITAS 2009'!V22*0.8/100)+'SERVISECURITAS 2009'!V22</f>
        <v>102.21120000000001</v>
      </c>
      <c r="Z23" s="22">
        <f>+E23*0.05</f>
        <v>64.674000000000007</v>
      </c>
      <c r="AA23" s="58">
        <f>Z23/30</f>
        <v>2.1558000000000002</v>
      </c>
      <c r="AB23" s="22">
        <f>('SERVISECURITAS 2009'!Y22*0.8/100)+'SERVISECURITAS 2009'!Y22</f>
        <v>47.896168319999994</v>
      </c>
    </row>
    <row r="24" spans="1:28" ht="18" customHeight="1" x14ac:dyDescent="0.2">
      <c r="A24" s="65">
        <v>5</v>
      </c>
      <c r="B24" s="65" t="s">
        <v>72</v>
      </c>
      <c r="C24" s="61">
        <v>2227</v>
      </c>
      <c r="D24" s="21" t="s">
        <v>30</v>
      </c>
      <c r="E24" s="22">
        <v>958.16</v>
      </c>
      <c r="F24" s="23">
        <f>E24/30</f>
        <v>31.938666666666666</v>
      </c>
      <c r="G24" s="22">
        <v>69.38</v>
      </c>
      <c r="H24" s="23">
        <f>G24/30</f>
        <v>2.3126666666666664</v>
      </c>
      <c r="I24" s="22"/>
      <c r="J24" s="24"/>
      <c r="K24" s="22"/>
      <c r="L24" s="22"/>
      <c r="M24" s="15">
        <f>+K24+I24+G24+E24</f>
        <v>1027.54</v>
      </c>
      <c r="N24" s="15">
        <f>((E24+K24)*14)+((G24+I24)*12)+120</f>
        <v>14366.8</v>
      </c>
      <c r="O24" s="22"/>
      <c r="P24" s="22">
        <v>11.12</v>
      </c>
      <c r="Q24" s="22">
        <v>1.47</v>
      </c>
      <c r="R24" s="22">
        <f>('SERVISECURITAS 2009'!O23*0.8/100)+'SERVISECURITAS 2009'!O23</f>
        <v>0.22486464</v>
      </c>
      <c r="S24" s="22">
        <f>'SERVISECURITAS 2009'!P23*0.8/100+'SERVISECURITAS 2009'!P23</f>
        <v>0.252</v>
      </c>
      <c r="T24" s="22">
        <f>('SERVISECURITAS 2009'!Q23*0.8/100)+'SERVISECURITAS 2009'!Q23</f>
        <v>8.0542425600000005</v>
      </c>
      <c r="U24" s="22">
        <f>('SERVISECURITAS 2009'!R23*0.8/100)+'SERVISECURITAS 2009'!R23</f>
        <v>13.440772800000001</v>
      </c>
      <c r="V24" s="22">
        <f>('SERVISECURITAS 2009'!S23*0.8/100)+'SERVISECURITAS 2009'!S23</f>
        <v>26.89176672</v>
      </c>
      <c r="W24" s="22">
        <v>24.66</v>
      </c>
      <c r="X24" s="22">
        <f>('SERVISECURITAS 2009'!U23*0.8/100)+'SERVISECURITAS 2009'!U23</f>
        <v>118.96361567999999</v>
      </c>
      <c r="Y24" s="22">
        <f>('SERVISECURITAS 2009'!V23*0.8/100)+'SERVISECURITAS 2009'!V23</f>
        <v>102.21120000000001</v>
      </c>
      <c r="Z24" s="22">
        <f>+E24*0.05</f>
        <v>47.908000000000001</v>
      </c>
      <c r="AA24" s="58">
        <f>Z24/30</f>
        <v>1.5969333333333333</v>
      </c>
      <c r="AB24" s="22">
        <f>('SERVISECURITAS 2009'!Y23*0.8/100)+'SERVISECURITAS 2009'!Y23</f>
        <v>47.896168319999994</v>
      </c>
    </row>
    <row r="25" spans="1:28" ht="18" customHeight="1" x14ac:dyDescent="0.2">
      <c r="A25" s="66"/>
      <c r="B25" s="66"/>
      <c r="C25" s="60"/>
      <c r="D25" s="27" t="s">
        <v>31</v>
      </c>
      <c r="E25" s="28"/>
      <c r="F25" s="29"/>
      <c r="G25" s="28"/>
      <c r="H25" s="29"/>
      <c r="I25" s="28"/>
      <c r="J25" s="29"/>
      <c r="K25" s="28"/>
      <c r="L25" s="28"/>
      <c r="M25" s="12"/>
      <c r="N25" s="28"/>
      <c r="O25" s="47"/>
      <c r="P25" s="18"/>
      <c r="Q25" s="22"/>
      <c r="R25" s="22"/>
      <c r="S25" s="22"/>
      <c r="T25" s="22"/>
      <c r="U25" s="22"/>
      <c r="V25" s="22"/>
      <c r="W25" s="22"/>
      <c r="X25" s="22"/>
      <c r="Y25" s="28"/>
      <c r="Z25" s="22"/>
      <c r="AA25" s="30"/>
      <c r="AB25" s="22"/>
    </row>
    <row r="26" spans="1:28" ht="18" customHeight="1" x14ac:dyDescent="0.2">
      <c r="A26" s="65">
        <v>6</v>
      </c>
      <c r="B26" s="65" t="s">
        <v>72</v>
      </c>
      <c r="C26" s="61">
        <v>2042</v>
      </c>
      <c r="D26" s="69" t="s">
        <v>65</v>
      </c>
      <c r="E26" s="71">
        <v>655.20000000000005</v>
      </c>
      <c r="F26" s="71">
        <v>57.83</v>
      </c>
      <c r="G26" s="71">
        <v>57.83</v>
      </c>
      <c r="H26" s="58">
        <f t="shared" ref="H26:H35" si="12">G26/30</f>
        <v>1.9276666666666666</v>
      </c>
      <c r="I26" s="25">
        <v>27.76</v>
      </c>
      <c r="J26" s="58">
        <f t="shared" ref="J26:J35" si="13">I26/30</f>
        <v>0.92533333333333334</v>
      </c>
      <c r="K26" s="25"/>
      <c r="L26" s="25"/>
      <c r="M26" s="70">
        <f t="shared" ref="M26:M34" si="14">+K26+I26+G26+E26</f>
        <v>740.79000000000008</v>
      </c>
      <c r="N26" s="70">
        <f t="shared" ref="N26:N35" si="15">((E26+K26)*14)+((G26+I26)*12)+120</f>
        <v>10319.880000000001</v>
      </c>
      <c r="O26" s="22"/>
      <c r="P26" s="22">
        <v>6.7</v>
      </c>
      <c r="Q26" s="22">
        <v>0.96</v>
      </c>
      <c r="R26" s="22">
        <v>0.22</v>
      </c>
      <c r="S26" s="22">
        <f>'SERVISECURITAS 2009'!P25*0.8/100+'SERVISECURITAS 2009'!P25</f>
        <v>0.252</v>
      </c>
      <c r="T26" s="22">
        <f>('SERVISECURITAS 2009'!Q25*0.8/100)+'SERVISECURITAS 2009'!Q25</f>
        <v>8.0542425600000005</v>
      </c>
      <c r="U26" s="22">
        <f>('SERVISECURITAS 2009'!R25*0.8/100)+'SERVISECURITAS 2009'!R25</f>
        <v>13.440772800000001</v>
      </c>
      <c r="V26" s="22">
        <f>('SERVISECURITAS 2009'!S25*0.8/100)+'SERVISECURITAS 2009'!S25</f>
        <v>26.89176672</v>
      </c>
      <c r="W26" s="22">
        <v>24.66</v>
      </c>
      <c r="X26" s="22">
        <f>('SERVISECURITAS 2009'!U25*0.8/100)+'SERVISECURITAS 2009'!U25</f>
        <v>118.96361567999999</v>
      </c>
      <c r="Y26" s="22">
        <f>('SERVISECURITAS 2009'!V25*0.8/100)+'SERVISECURITAS 2009'!V25</f>
        <v>102.21120000000001</v>
      </c>
      <c r="Z26" s="22">
        <f t="shared" ref="Z26:Z35" si="16">+E26*0.05</f>
        <v>32.760000000000005</v>
      </c>
      <c r="AA26" s="63">
        <f t="shared" ref="AA26:AA35" si="17">Z26/30</f>
        <v>1.0920000000000001</v>
      </c>
      <c r="AB26" s="22">
        <f>('SERVISECURITAS 2009'!Y25*0.8/100)+'SERVISECURITAS 2009'!Y25</f>
        <v>47.896168319999994</v>
      </c>
    </row>
    <row r="27" spans="1:28" ht="18" customHeight="1" x14ac:dyDescent="0.2">
      <c r="A27" s="65">
        <v>6</v>
      </c>
      <c r="B27" s="65" t="s">
        <v>73</v>
      </c>
      <c r="C27" s="61">
        <v>2047</v>
      </c>
      <c r="D27" s="69" t="s">
        <v>66</v>
      </c>
      <c r="E27" s="71">
        <v>655.20000000000005</v>
      </c>
      <c r="F27" s="71">
        <v>57.83</v>
      </c>
      <c r="G27" s="71">
        <v>57.83</v>
      </c>
      <c r="H27" s="58">
        <f>G27/30</f>
        <v>1.9276666666666666</v>
      </c>
      <c r="I27" s="25">
        <v>27.76</v>
      </c>
      <c r="J27" s="58">
        <f>I27/30</f>
        <v>0.92533333333333334</v>
      </c>
      <c r="K27" s="25"/>
      <c r="L27" s="25"/>
      <c r="M27" s="70">
        <f>+K27+I27+G27+E27</f>
        <v>740.79000000000008</v>
      </c>
      <c r="N27" s="70">
        <f>((E27+K27)*14)+((G27+I27)*12)+120</f>
        <v>10319.880000000001</v>
      </c>
      <c r="O27" s="22"/>
      <c r="P27" s="22">
        <v>6.7</v>
      </c>
      <c r="Q27" s="22">
        <v>0.96</v>
      </c>
      <c r="R27" s="22">
        <v>0.22</v>
      </c>
      <c r="S27" s="22">
        <f>'SERVISECURITAS 2009'!P26*0.8/100+'SERVISECURITAS 2009'!P26</f>
        <v>0.252</v>
      </c>
      <c r="T27" s="22">
        <f>('SERVISECURITAS 2009'!Q26*0.8/100)+'SERVISECURITAS 2009'!Q26</f>
        <v>8.0542425600000005</v>
      </c>
      <c r="U27" s="22">
        <f>('SERVISECURITAS 2009'!R26*0.8/100)+'SERVISECURITAS 2009'!R26</f>
        <v>13.440772800000001</v>
      </c>
      <c r="V27" s="22">
        <f>('SERVISECURITAS 2009'!S26*0.8/100)+'SERVISECURITAS 2009'!S26</f>
        <v>26.89176672</v>
      </c>
      <c r="W27" s="22">
        <v>24.66</v>
      </c>
      <c r="X27" s="22">
        <f>('SERVISECURITAS 2009'!U26*0.8/100)+'SERVISECURITAS 2009'!U26</f>
        <v>118.96361567999999</v>
      </c>
      <c r="Y27" s="22">
        <f>('SERVISECURITAS 2009'!V26*0.8/100)+'SERVISECURITAS 2009'!V26</f>
        <v>102.21120000000001</v>
      </c>
      <c r="Z27" s="22">
        <f>+E27*0.05</f>
        <v>32.760000000000005</v>
      </c>
      <c r="AA27" s="63">
        <f>Z27/30</f>
        <v>1.0920000000000001</v>
      </c>
      <c r="AB27" s="22">
        <f>('SERVISECURITAS 2009'!Y26*0.8/100)+'SERVISECURITAS 2009'!Y26</f>
        <v>47.896168319999994</v>
      </c>
    </row>
    <row r="28" spans="1:28" ht="18" customHeight="1" x14ac:dyDescent="0.2">
      <c r="A28" s="65">
        <v>6</v>
      </c>
      <c r="B28" s="65" t="s">
        <v>72</v>
      </c>
      <c r="C28" s="61">
        <v>2205</v>
      </c>
      <c r="D28" s="69" t="s">
        <v>33</v>
      </c>
      <c r="E28" s="71">
        <v>655.20000000000005</v>
      </c>
      <c r="F28" s="71">
        <v>57.83</v>
      </c>
      <c r="G28" s="71">
        <v>57.83</v>
      </c>
      <c r="H28" s="58">
        <f t="shared" si="12"/>
        <v>1.9276666666666666</v>
      </c>
      <c r="I28" s="25">
        <v>27.76</v>
      </c>
      <c r="J28" s="58">
        <f t="shared" si="13"/>
        <v>0.92533333333333334</v>
      </c>
      <c r="K28" s="25"/>
      <c r="L28" s="25"/>
      <c r="M28" s="70">
        <f t="shared" si="14"/>
        <v>740.79000000000008</v>
      </c>
      <c r="N28" s="70">
        <f t="shared" si="15"/>
        <v>10319.880000000001</v>
      </c>
      <c r="O28" s="22"/>
      <c r="P28" s="22">
        <v>6.7</v>
      </c>
      <c r="Q28" s="22">
        <v>0.96</v>
      </c>
      <c r="R28" s="22">
        <f>('SERVISECURITAS 2009'!O26*0.8/100)+'SERVISECURITAS 2009'!O26</f>
        <v>0.22486464</v>
      </c>
      <c r="S28" s="22">
        <f>'SERVISECURITAS 2009'!P26*0.8/100+'SERVISECURITAS 2009'!P26</f>
        <v>0.252</v>
      </c>
      <c r="T28" s="22">
        <f>('SERVISECURITAS 2009'!Q26*0.8/100)+'SERVISECURITAS 2009'!Q26</f>
        <v>8.0542425600000005</v>
      </c>
      <c r="U28" s="22">
        <f>('SERVISECURITAS 2009'!R26*0.8/100)+'SERVISECURITAS 2009'!R26</f>
        <v>13.440772800000001</v>
      </c>
      <c r="V28" s="22">
        <f>('SERVISECURITAS 2009'!S26*0.8/100)+'SERVISECURITAS 2009'!S26</f>
        <v>26.89176672</v>
      </c>
      <c r="W28" s="22">
        <v>24.66</v>
      </c>
      <c r="X28" s="22">
        <f>('SERVISECURITAS 2009'!U26*0.8/100)+'SERVISECURITAS 2009'!U26</f>
        <v>118.96361567999999</v>
      </c>
      <c r="Y28" s="22">
        <f>('SERVISECURITAS 2009'!V26*0.8/100)+'SERVISECURITAS 2009'!V26</f>
        <v>102.21120000000001</v>
      </c>
      <c r="Z28" s="22">
        <f t="shared" si="16"/>
        <v>32.760000000000005</v>
      </c>
      <c r="AA28" s="63">
        <f t="shared" si="17"/>
        <v>1.0920000000000001</v>
      </c>
      <c r="AB28" s="22">
        <f>('SERVISECURITAS 2009'!Y26*0.8/100)+'SERVISECURITAS 2009'!Y26</f>
        <v>47.896168319999994</v>
      </c>
    </row>
    <row r="29" spans="1:28" ht="18" customHeight="1" x14ac:dyDescent="0.2">
      <c r="A29" s="65">
        <v>6</v>
      </c>
      <c r="B29" s="65" t="s">
        <v>72</v>
      </c>
      <c r="C29" s="61">
        <v>2044</v>
      </c>
      <c r="D29" s="69" t="s">
        <v>34</v>
      </c>
      <c r="E29" s="71">
        <v>655.20000000000005</v>
      </c>
      <c r="F29" s="71">
        <v>57.83</v>
      </c>
      <c r="G29" s="71">
        <v>57.83</v>
      </c>
      <c r="H29" s="58">
        <f t="shared" si="12"/>
        <v>1.9276666666666666</v>
      </c>
      <c r="I29" s="25">
        <v>27.76</v>
      </c>
      <c r="J29" s="58">
        <f t="shared" si="13"/>
        <v>0.92533333333333334</v>
      </c>
      <c r="K29" s="25"/>
      <c r="L29" s="25"/>
      <c r="M29" s="70">
        <f t="shared" si="14"/>
        <v>740.79000000000008</v>
      </c>
      <c r="N29" s="70">
        <f t="shared" si="15"/>
        <v>10319.880000000001</v>
      </c>
      <c r="O29" s="22"/>
      <c r="P29" s="22">
        <v>6.7</v>
      </c>
      <c r="Q29" s="22">
        <v>0.96</v>
      </c>
      <c r="R29" s="22">
        <f>('SERVISECURITAS 2009'!O27*0.8/100)+'SERVISECURITAS 2009'!O27</f>
        <v>0.22486464</v>
      </c>
      <c r="S29" s="22">
        <f>'SERVISECURITAS 2009'!P27*0.8/100+'SERVISECURITAS 2009'!P27</f>
        <v>0.252</v>
      </c>
      <c r="T29" s="22">
        <f>('SERVISECURITAS 2009'!Q27*0.8/100)+'SERVISECURITAS 2009'!Q27</f>
        <v>8.0542425600000005</v>
      </c>
      <c r="U29" s="22">
        <f>('SERVISECURITAS 2009'!R27*0.8/100)+'SERVISECURITAS 2009'!R27</f>
        <v>13.440772800000001</v>
      </c>
      <c r="V29" s="22">
        <f>('SERVISECURITAS 2009'!S27*0.8/100)+'SERVISECURITAS 2009'!S27</f>
        <v>26.89176672</v>
      </c>
      <c r="W29" s="22">
        <v>24.66</v>
      </c>
      <c r="X29" s="22">
        <f>('SERVISECURITAS 2009'!U27*0.8/100)+'SERVISECURITAS 2009'!U27</f>
        <v>118.96361567999999</v>
      </c>
      <c r="Y29" s="22">
        <f>('SERVISECURITAS 2009'!V27*0.8/100)+'SERVISECURITAS 2009'!V27</f>
        <v>102.21120000000001</v>
      </c>
      <c r="Z29" s="22">
        <f t="shared" si="16"/>
        <v>32.760000000000005</v>
      </c>
      <c r="AA29" s="63">
        <f t="shared" si="17"/>
        <v>1.0920000000000001</v>
      </c>
      <c r="AB29" s="22">
        <f>('SERVISECURITAS 2009'!Y27*0.8/100)+'SERVISECURITAS 2009'!Y27</f>
        <v>47.896168319999994</v>
      </c>
    </row>
    <row r="30" spans="1:28" ht="18" customHeight="1" x14ac:dyDescent="0.2">
      <c r="A30" s="65">
        <v>6</v>
      </c>
      <c r="B30" s="65" t="s">
        <v>72</v>
      </c>
      <c r="C30" s="61">
        <v>2048</v>
      </c>
      <c r="D30" s="69" t="s">
        <v>35</v>
      </c>
      <c r="E30" s="71">
        <v>655.20000000000005</v>
      </c>
      <c r="F30" s="71">
        <v>57.83</v>
      </c>
      <c r="G30" s="71">
        <v>57.83</v>
      </c>
      <c r="H30" s="58">
        <f t="shared" si="12"/>
        <v>1.9276666666666666</v>
      </c>
      <c r="I30" s="25">
        <v>27.76</v>
      </c>
      <c r="J30" s="58">
        <f t="shared" si="13"/>
        <v>0.92533333333333334</v>
      </c>
      <c r="K30" s="25"/>
      <c r="L30" s="25"/>
      <c r="M30" s="70">
        <f t="shared" si="14"/>
        <v>740.79000000000008</v>
      </c>
      <c r="N30" s="70">
        <f t="shared" si="15"/>
        <v>10319.880000000001</v>
      </c>
      <c r="O30" s="22"/>
      <c r="P30" s="22">
        <v>6.7</v>
      </c>
      <c r="Q30" s="22">
        <v>0.96</v>
      </c>
      <c r="R30" s="22">
        <f>('SERVISECURITAS 2009'!O28*0.8/100)+'SERVISECURITAS 2009'!O28</f>
        <v>0.22486464</v>
      </c>
      <c r="S30" s="22">
        <f>'SERVISECURITAS 2009'!P28*0.8/100+'SERVISECURITAS 2009'!P28</f>
        <v>0.252</v>
      </c>
      <c r="T30" s="22">
        <f>('SERVISECURITAS 2009'!Q28*0.8/100)+'SERVISECURITAS 2009'!Q28</f>
        <v>8.0542425600000005</v>
      </c>
      <c r="U30" s="22">
        <f>('SERVISECURITAS 2009'!R28*0.8/100)+'SERVISECURITAS 2009'!R28</f>
        <v>13.440772800000001</v>
      </c>
      <c r="V30" s="22">
        <f>('SERVISECURITAS 2009'!S28*0.8/100)+'SERVISECURITAS 2009'!S28</f>
        <v>26.89176672</v>
      </c>
      <c r="W30" s="22">
        <v>24.66</v>
      </c>
      <c r="X30" s="22">
        <f>('SERVISECURITAS 2009'!U28*0.8/100)+'SERVISECURITAS 2009'!U28</f>
        <v>118.96361567999999</v>
      </c>
      <c r="Y30" s="22">
        <f>('SERVISECURITAS 2009'!V28*0.8/100)+'SERVISECURITAS 2009'!V28</f>
        <v>102.21120000000001</v>
      </c>
      <c r="Z30" s="22">
        <f t="shared" si="16"/>
        <v>32.760000000000005</v>
      </c>
      <c r="AA30" s="63">
        <f t="shared" si="17"/>
        <v>1.0920000000000001</v>
      </c>
      <c r="AB30" s="22">
        <f>('SERVISECURITAS 2009'!Y28*0.8/100)+'SERVISECURITAS 2009'!Y28</f>
        <v>47.896168319999994</v>
      </c>
    </row>
    <row r="31" spans="1:28" ht="18" customHeight="1" x14ac:dyDescent="0.2">
      <c r="A31" s="65">
        <v>6</v>
      </c>
      <c r="B31" s="65" t="s">
        <v>72</v>
      </c>
      <c r="C31" s="61">
        <v>2043</v>
      </c>
      <c r="D31" s="69" t="s">
        <v>36</v>
      </c>
      <c r="E31" s="71">
        <v>655.20000000000005</v>
      </c>
      <c r="F31" s="71">
        <v>57.83</v>
      </c>
      <c r="G31" s="71">
        <v>57.83</v>
      </c>
      <c r="H31" s="58">
        <f>G31/30</f>
        <v>1.9276666666666666</v>
      </c>
      <c r="I31" s="25">
        <v>27.76</v>
      </c>
      <c r="J31" s="58">
        <f>I31/30</f>
        <v>0.92533333333333334</v>
      </c>
      <c r="K31" s="25"/>
      <c r="L31" s="25"/>
      <c r="M31" s="70">
        <f>+K31+I31+G31+E31</f>
        <v>740.79000000000008</v>
      </c>
      <c r="N31" s="70">
        <f>((E31+K31)*14)+((G31+I31)*12)+120</f>
        <v>10319.880000000001</v>
      </c>
      <c r="O31" s="22"/>
      <c r="P31" s="22">
        <v>6.7</v>
      </c>
      <c r="Q31" s="22">
        <v>0.96</v>
      </c>
      <c r="R31" s="22">
        <f>('SERVISECURITAS 2009'!O28*0.8/100)+'SERVISECURITAS 2009'!O28</f>
        <v>0.22486464</v>
      </c>
      <c r="S31" s="22">
        <f>'SERVISECURITAS 2009'!P28*0.8/100+'SERVISECURITAS 2009'!P28</f>
        <v>0.252</v>
      </c>
      <c r="T31" s="22">
        <f>('SERVISECURITAS 2009'!Q28*0.8/100)+'SERVISECURITAS 2009'!Q28</f>
        <v>8.0542425600000005</v>
      </c>
      <c r="U31" s="22">
        <f>('SERVISECURITAS 2009'!R28*0.8/100)+'SERVISECURITAS 2009'!R28</f>
        <v>13.440772800000001</v>
      </c>
      <c r="V31" s="22">
        <f>('SERVISECURITAS 2009'!S28*0.8/100)+'SERVISECURITAS 2009'!S28</f>
        <v>26.89176672</v>
      </c>
      <c r="W31" s="22">
        <v>24.66</v>
      </c>
      <c r="X31" s="22">
        <f>('SERVISECURITAS 2009'!U28*0.8/100)+'SERVISECURITAS 2009'!U28</f>
        <v>118.96361567999999</v>
      </c>
      <c r="Y31" s="22">
        <f>('SERVISECURITAS 2009'!V28*0.8/100)+'SERVISECURITAS 2009'!V28</f>
        <v>102.21120000000001</v>
      </c>
      <c r="Z31" s="22">
        <f>+E31*0.05</f>
        <v>32.760000000000005</v>
      </c>
      <c r="AA31" s="63">
        <f>Z31/30</f>
        <v>1.0920000000000001</v>
      </c>
      <c r="AB31" s="22">
        <f>('SERVISECURITAS 2009'!Y28*0.8/100)+'SERVISECURITAS 2009'!Y28</f>
        <v>47.896168319999994</v>
      </c>
    </row>
    <row r="32" spans="1:28" ht="18" customHeight="1" x14ac:dyDescent="0.2">
      <c r="A32" s="65">
        <v>6</v>
      </c>
      <c r="B32" s="65" t="s">
        <v>72</v>
      </c>
      <c r="C32" s="61">
        <v>2045</v>
      </c>
      <c r="D32" s="69" t="s">
        <v>64</v>
      </c>
      <c r="E32" s="71">
        <v>655.20000000000005</v>
      </c>
      <c r="F32" s="71">
        <v>57.83</v>
      </c>
      <c r="G32" s="71">
        <v>57.83</v>
      </c>
      <c r="H32" s="58">
        <f t="shared" si="12"/>
        <v>1.9276666666666666</v>
      </c>
      <c r="I32" s="25">
        <v>27.76</v>
      </c>
      <c r="J32" s="58">
        <f t="shared" si="13"/>
        <v>0.92533333333333334</v>
      </c>
      <c r="K32" s="25"/>
      <c r="L32" s="25"/>
      <c r="M32" s="70">
        <f t="shared" si="14"/>
        <v>740.79000000000008</v>
      </c>
      <c r="N32" s="70">
        <f t="shared" si="15"/>
        <v>10319.880000000001</v>
      </c>
      <c r="O32" s="22"/>
      <c r="P32" s="22">
        <v>6.7</v>
      </c>
      <c r="Q32" s="22">
        <v>0.96</v>
      </c>
      <c r="R32" s="22">
        <f>('SERVISECURITAS 2009'!O29*0.8/100)+'SERVISECURITAS 2009'!O29</f>
        <v>0.22486464</v>
      </c>
      <c r="S32" s="22">
        <f>'SERVISECURITAS 2009'!P29*0.8/100+'SERVISECURITAS 2009'!P29</f>
        <v>0.252</v>
      </c>
      <c r="T32" s="22">
        <f>('SERVISECURITAS 2009'!Q29*0.8/100)+'SERVISECURITAS 2009'!Q29</f>
        <v>8.0542425600000005</v>
      </c>
      <c r="U32" s="22">
        <f>('SERVISECURITAS 2009'!R29*0.8/100)+'SERVISECURITAS 2009'!R29</f>
        <v>13.440772800000001</v>
      </c>
      <c r="V32" s="22">
        <f>('SERVISECURITAS 2009'!S29*0.8/100)+'SERVISECURITAS 2009'!S29</f>
        <v>26.89176672</v>
      </c>
      <c r="W32" s="22">
        <v>24.66</v>
      </c>
      <c r="X32" s="22">
        <f>('SERVISECURITAS 2009'!U29*0.8/100)+'SERVISECURITAS 2009'!U29</f>
        <v>118.96361567999999</v>
      </c>
      <c r="Y32" s="22">
        <f>('SERVISECURITAS 2009'!V29*0.8/100)+'SERVISECURITAS 2009'!V29</f>
        <v>102.21120000000001</v>
      </c>
      <c r="Z32" s="22">
        <f t="shared" si="16"/>
        <v>32.760000000000005</v>
      </c>
      <c r="AA32" s="63">
        <f t="shared" si="17"/>
        <v>1.0920000000000001</v>
      </c>
      <c r="AB32" s="22">
        <f>('SERVISECURITAS 2009'!Y29*0.8/100)+'SERVISECURITAS 2009'!Y29</f>
        <v>47.896168319999994</v>
      </c>
    </row>
    <row r="33" spans="1:28" ht="18" customHeight="1" x14ac:dyDescent="0.2">
      <c r="A33" s="65">
        <v>6</v>
      </c>
      <c r="B33" s="65" t="s">
        <v>72</v>
      </c>
      <c r="C33" s="61">
        <v>2060</v>
      </c>
      <c r="D33" s="69" t="s">
        <v>50</v>
      </c>
      <c r="E33" s="71">
        <v>655.20000000000005</v>
      </c>
      <c r="F33" s="71">
        <v>57.83</v>
      </c>
      <c r="G33" s="71">
        <v>57.83</v>
      </c>
      <c r="H33" s="58">
        <f t="shared" si="12"/>
        <v>1.9276666666666666</v>
      </c>
      <c r="I33" s="25">
        <v>27.76</v>
      </c>
      <c r="J33" s="58">
        <f t="shared" si="13"/>
        <v>0.92533333333333334</v>
      </c>
      <c r="K33" s="25"/>
      <c r="L33" s="25"/>
      <c r="M33" s="70">
        <f t="shared" si="14"/>
        <v>740.79000000000008</v>
      </c>
      <c r="N33" s="70">
        <f t="shared" si="15"/>
        <v>10319.880000000001</v>
      </c>
      <c r="O33" s="22"/>
      <c r="P33" s="22">
        <v>6.7</v>
      </c>
      <c r="Q33" s="22">
        <v>0.96</v>
      </c>
      <c r="R33" s="22">
        <f>('SERVISECURITAS 2009'!O30*0.8/100)+'SERVISECURITAS 2009'!O30</f>
        <v>0.22486464</v>
      </c>
      <c r="S33" s="22">
        <f>'SERVISECURITAS 2009'!P30*0.8/100+'SERVISECURITAS 2009'!P30</f>
        <v>0.252</v>
      </c>
      <c r="T33" s="22">
        <f>('SERVISECURITAS 2009'!Q30*0.8/100)+'SERVISECURITAS 2009'!Q30</f>
        <v>8.0542425600000005</v>
      </c>
      <c r="U33" s="22">
        <f>('SERVISECURITAS 2009'!R30*0.8/100)+'SERVISECURITAS 2009'!R30</f>
        <v>13.440772800000001</v>
      </c>
      <c r="V33" s="22">
        <f>('SERVISECURITAS 2009'!S30*0.8/100)+'SERVISECURITAS 2009'!S30</f>
        <v>26.89176672</v>
      </c>
      <c r="W33" s="22">
        <v>24.66</v>
      </c>
      <c r="X33" s="22">
        <f>('SERVISECURITAS 2009'!U30*0.8/100)+'SERVISECURITAS 2009'!U30</f>
        <v>118.96361567999999</v>
      </c>
      <c r="Y33" s="22">
        <f>('SERVISECURITAS 2009'!V30*0.8/100)+'SERVISECURITAS 2009'!V30</f>
        <v>102.21120000000001</v>
      </c>
      <c r="Z33" s="22">
        <f t="shared" si="16"/>
        <v>32.760000000000005</v>
      </c>
      <c r="AA33" s="63">
        <f t="shared" si="17"/>
        <v>1.0920000000000001</v>
      </c>
      <c r="AB33" s="22">
        <f>('SERVISECURITAS 2009'!Y30*0.8/100)+'SERVISECURITAS 2009'!Y30</f>
        <v>47.896168319999994</v>
      </c>
    </row>
    <row r="34" spans="1:28" ht="18" customHeight="1" x14ac:dyDescent="0.2">
      <c r="A34" s="65">
        <v>7</v>
      </c>
      <c r="B34" s="65" t="s">
        <v>72</v>
      </c>
      <c r="C34" s="61">
        <v>2061</v>
      </c>
      <c r="D34" s="69" t="s">
        <v>51</v>
      </c>
      <c r="E34" s="71">
        <v>655.20000000000005</v>
      </c>
      <c r="F34" s="71">
        <v>57.83</v>
      </c>
      <c r="G34" s="71">
        <v>57.83</v>
      </c>
      <c r="H34" s="58">
        <f t="shared" si="12"/>
        <v>1.9276666666666666</v>
      </c>
      <c r="I34" s="25">
        <v>27.76</v>
      </c>
      <c r="J34" s="58">
        <f t="shared" si="13"/>
        <v>0.92533333333333334</v>
      </c>
      <c r="K34" s="25"/>
      <c r="L34" s="25"/>
      <c r="M34" s="70">
        <f t="shared" si="14"/>
        <v>740.79000000000008</v>
      </c>
      <c r="N34" s="70">
        <f t="shared" si="15"/>
        <v>10319.880000000001</v>
      </c>
      <c r="O34" s="22"/>
      <c r="P34" s="22">
        <v>6.7</v>
      </c>
      <c r="Q34" s="22">
        <v>0.96</v>
      </c>
      <c r="R34" s="22">
        <f>('SERVISECURITAS 2009'!O31*0.8/100)+'SERVISECURITAS 2009'!O31</f>
        <v>0.22486464</v>
      </c>
      <c r="S34" s="22">
        <f>'SERVISECURITAS 2009'!P31*0.8/100+'SERVISECURITAS 2009'!P31</f>
        <v>0.252</v>
      </c>
      <c r="T34" s="22">
        <f>('SERVISECURITAS 2009'!Q31*0.8/100)+'SERVISECURITAS 2009'!Q31</f>
        <v>8.0542425600000005</v>
      </c>
      <c r="U34" s="22">
        <f>('SERVISECURITAS 2009'!R31*0.8/100)+'SERVISECURITAS 2009'!R31</f>
        <v>13.440772800000001</v>
      </c>
      <c r="V34" s="22">
        <f>('SERVISECURITAS 2009'!S31*0.8/100)+'SERVISECURITAS 2009'!S31</f>
        <v>26.89176672</v>
      </c>
      <c r="W34" s="22">
        <v>24.66</v>
      </c>
      <c r="X34" s="22">
        <f>('SERVISECURITAS 2009'!U31*0.8/100)+'SERVISECURITAS 2009'!U31</f>
        <v>118.96361567999999</v>
      </c>
      <c r="Y34" s="22">
        <f>('SERVISECURITAS 2009'!V31*0.8/100)+'SERVISECURITAS 2009'!V31</f>
        <v>102.21120000000001</v>
      </c>
      <c r="Z34" s="22">
        <f t="shared" si="16"/>
        <v>32.760000000000005</v>
      </c>
      <c r="AA34" s="63">
        <f t="shared" si="17"/>
        <v>1.0920000000000001</v>
      </c>
      <c r="AB34" s="22">
        <f>('SERVISECURITAS 2009'!Y31*0.8/100)+'SERVISECURITAS 2009'!Y31</f>
        <v>47.896168319999994</v>
      </c>
    </row>
    <row r="35" spans="1:28" ht="18" customHeight="1" x14ac:dyDescent="0.2">
      <c r="A35" s="65">
        <v>6</v>
      </c>
      <c r="B35" s="65" t="s">
        <v>73</v>
      </c>
      <c r="C35" s="61">
        <v>2046</v>
      </c>
      <c r="D35" s="21" t="s">
        <v>37</v>
      </c>
      <c r="E35" s="25">
        <v>683.9</v>
      </c>
      <c r="F35" s="63">
        <f t="shared" ref="F35" si="18">E35/30</f>
        <v>22.796666666666667</v>
      </c>
      <c r="G35" s="25">
        <v>69.38</v>
      </c>
      <c r="H35" s="63">
        <f t="shared" si="12"/>
        <v>2.3126666666666664</v>
      </c>
      <c r="I35" s="25">
        <v>27.76</v>
      </c>
      <c r="J35" s="23">
        <f t="shared" si="13"/>
        <v>0.92533333333333334</v>
      </c>
      <c r="K35" s="22">
        <v>78.72</v>
      </c>
      <c r="L35" s="23">
        <f>K35/30</f>
        <v>2.6240000000000001</v>
      </c>
      <c r="M35" s="15">
        <f>+K35+I35+G35+E35</f>
        <v>859.76</v>
      </c>
      <c r="N35" s="15">
        <f t="shared" si="15"/>
        <v>11962.36</v>
      </c>
      <c r="O35" s="22"/>
      <c r="P35" s="22">
        <v>7.75</v>
      </c>
      <c r="Q35" s="22">
        <v>1.03</v>
      </c>
      <c r="R35" s="22">
        <f>('SERVISECURITAS 2009'!O32*0.8/100)+'SERVISECURITAS 2009'!O32</f>
        <v>0.22486464</v>
      </c>
      <c r="S35" s="22">
        <f>'SERVISECURITAS 2009'!P32*0.8/100+'SERVISECURITAS 2009'!P32</f>
        <v>0.252</v>
      </c>
      <c r="T35" s="22">
        <f>('SERVISECURITAS 2009'!Q32*0.8/100)+'SERVISECURITAS 2009'!Q32</f>
        <v>8.0542425600000005</v>
      </c>
      <c r="U35" s="22">
        <f>('SERVISECURITAS 2009'!R32*0.8/100)+'SERVISECURITAS 2009'!R32</f>
        <v>13.440772800000001</v>
      </c>
      <c r="V35" s="22">
        <f>('SERVISECURITAS 2009'!S32*0.8/100)+'SERVISECURITAS 2009'!S32</f>
        <v>26.89176672</v>
      </c>
      <c r="W35" s="22">
        <v>24.66</v>
      </c>
      <c r="X35" s="22">
        <f>('SERVISECURITAS 2009'!U32*0.8/100)+'SERVISECURITAS 2009'!U32</f>
        <v>118.96361567999999</v>
      </c>
      <c r="Y35" s="22">
        <f>('SERVISECURITAS 2009'!V32*0.8/100)+'SERVISECURITAS 2009'!V32</f>
        <v>102.21120000000001</v>
      </c>
      <c r="Z35" s="22">
        <f t="shared" si="16"/>
        <v>34.195</v>
      </c>
      <c r="AA35" s="58">
        <f t="shared" si="17"/>
        <v>1.1398333333333333</v>
      </c>
      <c r="AB35" s="22">
        <f>('SERVISECURITAS 2009'!Y32*0.8/100)+'SERVISECURITAS 2009'!Y32</f>
        <v>47.896168319999994</v>
      </c>
    </row>
    <row r="36" spans="1:28" ht="18" customHeight="1" x14ac:dyDescent="0.2">
      <c r="A36" s="66"/>
      <c r="B36" s="66"/>
      <c r="C36" s="60"/>
      <c r="D36" s="27" t="s">
        <v>38</v>
      </c>
      <c r="E36" s="28"/>
      <c r="F36" s="29"/>
      <c r="G36" s="28"/>
      <c r="H36" s="29"/>
      <c r="I36" s="28"/>
      <c r="J36" s="29"/>
      <c r="K36" s="28"/>
      <c r="L36" s="28"/>
      <c r="M36" s="45"/>
      <c r="N36" s="28"/>
      <c r="O36" s="47"/>
      <c r="P36" s="18"/>
      <c r="Q36" s="22"/>
      <c r="R36" s="22"/>
      <c r="S36" s="22"/>
      <c r="T36" s="22"/>
      <c r="U36" s="22"/>
      <c r="V36" s="22"/>
      <c r="W36" s="22"/>
      <c r="X36" s="22"/>
      <c r="Y36" s="28"/>
      <c r="Z36" s="22"/>
      <c r="AA36" s="30"/>
      <c r="AB36" s="22"/>
    </row>
    <row r="37" spans="1:28" ht="18" customHeight="1" x14ac:dyDescent="0.2">
      <c r="A37" s="65">
        <v>10</v>
      </c>
      <c r="B37" s="65" t="s">
        <v>72</v>
      </c>
      <c r="C37" s="61">
        <v>2051</v>
      </c>
      <c r="D37" s="69" t="s">
        <v>39</v>
      </c>
      <c r="E37" s="71">
        <v>655.20000000000005</v>
      </c>
      <c r="F37" s="72">
        <f>E37/30</f>
        <v>21.84</v>
      </c>
      <c r="G37" s="71">
        <v>62.38</v>
      </c>
      <c r="H37" s="58">
        <f>G37/30</f>
        <v>2.0793333333333335</v>
      </c>
      <c r="I37" s="25"/>
      <c r="J37" s="58"/>
      <c r="K37" s="25"/>
      <c r="L37" s="25"/>
      <c r="M37" s="70">
        <f>+K37+I37+G37+E37</f>
        <v>717.58</v>
      </c>
      <c r="N37" s="70">
        <f>((E37+K37)*14)+((G37+I37)*12)+120</f>
        <v>10041.36</v>
      </c>
      <c r="O37" s="22"/>
      <c r="P37" s="22">
        <v>6.7</v>
      </c>
      <c r="Q37" s="22">
        <v>0.99</v>
      </c>
      <c r="R37" s="22">
        <f>('SERVISECURITAS 2009'!O34*0.8/100)+'SERVISECURITAS 2009'!O34</f>
        <v>0.22486464</v>
      </c>
      <c r="S37" s="22">
        <f>'SERVISECURITAS 2009'!P34*0.8/100+'SERVISECURITAS 2009'!P34</f>
        <v>0.252</v>
      </c>
      <c r="T37" s="22">
        <f>('SERVISECURITAS 2009'!Q34*0.8/100)+'SERVISECURITAS 2009'!Q34</f>
        <v>8.0542425600000005</v>
      </c>
      <c r="U37" s="22">
        <f>('SERVISECURITAS 2009'!R34*0.8/100)+'SERVISECURITAS 2009'!R34</f>
        <v>13.440772800000001</v>
      </c>
      <c r="V37" s="22">
        <f>('SERVISECURITAS 2009'!S34*0.8/100)+'SERVISECURITAS 2009'!S34</f>
        <v>26.89176672</v>
      </c>
      <c r="W37" s="22">
        <v>24.66</v>
      </c>
      <c r="X37" s="22">
        <f>('SERVISECURITAS 2009'!U34*0.8/100)+'SERVISECURITAS 2009'!U34</f>
        <v>118.96361567999999</v>
      </c>
      <c r="Y37" s="22">
        <f>('SERVISECURITAS 2009'!V34*0.8/100)+'SERVISECURITAS 2009'!V34</f>
        <v>102.21120000000001</v>
      </c>
      <c r="Z37" s="22">
        <f>+E37*0.05</f>
        <v>32.760000000000005</v>
      </c>
      <c r="AA37" s="58">
        <f>Z37/30</f>
        <v>1.0920000000000001</v>
      </c>
      <c r="AB37" s="22">
        <f>('SERVISECURITAS 2009'!Y34*0.8/100)+'SERVISECURITAS 2009'!Y34</f>
        <v>47.896168319999994</v>
      </c>
    </row>
    <row r="38" spans="1:28" ht="18" customHeight="1" x14ac:dyDescent="0.2">
      <c r="A38" s="65">
        <v>9</v>
      </c>
      <c r="B38" s="65" t="s">
        <v>75</v>
      </c>
      <c r="C38" s="61">
        <v>2903</v>
      </c>
      <c r="D38" s="69" t="s">
        <v>40</v>
      </c>
      <c r="E38" s="71">
        <v>655.20000000000005</v>
      </c>
      <c r="F38" s="71">
        <v>57.83</v>
      </c>
      <c r="G38" s="71">
        <v>57.83</v>
      </c>
      <c r="H38" s="58">
        <f>G38/30</f>
        <v>1.9276666666666666</v>
      </c>
      <c r="I38" s="25"/>
      <c r="J38" s="58"/>
      <c r="K38" s="25"/>
      <c r="L38" s="25"/>
      <c r="M38" s="70">
        <f>+K38+I38+G38+E38</f>
        <v>713.03000000000009</v>
      </c>
      <c r="N38" s="70">
        <f>((E38+K38)*14)+((G38+I38)*12)+120</f>
        <v>9986.760000000002</v>
      </c>
      <c r="O38" s="22"/>
      <c r="P38" s="22">
        <v>6.7</v>
      </c>
      <c r="Q38" s="22">
        <v>0.94</v>
      </c>
      <c r="R38" s="22">
        <f>('SERVISECURITAS 2009'!O35*0.8/100)+'SERVISECURITAS 2009'!O35</f>
        <v>0.22486464</v>
      </c>
      <c r="S38" s="22">
        <f>'SERVISECURITAS 2009'!P35*0.8/100+'SERVISECURITAS 2009'!P35</f>
        <v>0.252</v>
      </c>
      <c r="T38" s="22">
        <f>('SERVISECURITAS 2009'!Q35*0.8/100)+'SERVISECURITAS 2009'!Q35</f>
        <v>8.0542425600000005</v>
      </c>
      <c r="U38" s="22">
        <f>('SERVISECURITAS 2009'!R35*0.8/100)+'SERVISECURITAS 2009'!R35</f>
        <v>13.440772800000001</v>
      </c>
      <c r="V38" s="22">
        <f>('SERVISECURITAS 2009'!S35*0.8/100)+'SERVISECURITAS 2009'!S35</f>
        <v>26.89176672</v>
      </c>
      <c r="W38" s="22">
        <v>24.66</v>
      </c>
      <c r="X38" s="22">
        <f>('SERVISECURITAS 2009'!U35*0.8/100)+'SERVISECURITAS 2009'!U35</f>
        <v>118.96361567999999</v>
      </c>
      <c r="Y38" s="22">
        <f>('SERVISECURITAS 2009'!V35*0.8/100)+'SERVISECURITAS 2009'!V35</f>
        <v>102.21120000000001</v>
      </c>
      <c r="Z38" s="22">
        <f>+E38*0.05</f>
        <v>32.760000000000005</v>
      </c>
      <c r="AA38" s="63">
        <f>Z38/30</f>
        <v>1.0920000000000001</v>
      </c>
      <c r="AB38" s="22">
        <f>('SERVISECURITAS 2009'!Y35*0.8/100)+'SERVISECURITAS 2009'!Y35</f>
        <v>47.896168319999994</v>
      </c>
    </row>
    <row r="39" spans="1:28" x14ac:dyDescent="0.2">
      <c r="A39" s="67"/>
      <c r="B39" s="67"/>
      <c r="AA39" s="39"/>
    </row>
    <row r="40" spans="1:28" ht="8.25" customHeight="1" x14ac:dyDescent="0.2">
      <c r="A40" s="67"/>
      <c r="B40" s="67"/>
      <c r="AA40" s="39"/>
    </row>
    <row r="41" spans="1:28" ht="23.25" customHeight="1" x14ac:dyDescent="0.2">
      <c r="A41" s="67"/>
      <c r="B41" s="67"/>
      <c r="D41" s="40" t="s">
        <v>68</v>
      </c>
      <c r="AA41" s="39"/>
    </row>
    <row r="42" spans="1:28" ht="15" customHeight="1" x14ac:dyDescent="0.2">
      <c r="A42" s="67"/>
      <c r="AA42" s="39"/>
    </row>
    <row r="43" spans="1:28" ht="15" customHeight="1" x14ac:dyDescent="0.2">
      <c r="A43" s="67"/>
      <c r="AA43" s="39"/>
    </row>
    <row r="44" spans="1:28" ht="15" customHeight="1" x14ac:dyDescent="0.2">
      <c r="A44" s="67"/>
      <c r="AA44" s="39"/>
    </row>
    <row r="45" spans="1:28" ht="15" customHeight="1" x14ac:dyDescent="0.2">
      <c r="A45" s="67"/>
      <c r="AA45" s="39"/>
    </row>
    <row r="46" spans="1:28" x14ac:dyDescent="0.2">
      <c r="A46" s="67"/>
      <c r="AA46" s="39"/>
    </row>
    <row r="47" spans="1:28" ht="21" customHeight="1" x14ac:dyDescent="0.2">
      <c r="A47" s="67"/>
    </row>
    <row r="49" spans="5:14" x14ac:dyDescent="0.2">
      <c r="E49" s="68"/>
      <c r="G49" s="68"/>
      <c r="I49" s="68"/>
      <c r="K49" s="68"/>
      <c r="N49" s="56"/>
    </row>
    <row r="50" spans="5:14" x14ac:dyDescent="0.2">
      <c r="E50" s="68"/>
      <c r="G50" s="68"/>
      <c r="I50" s="68"/>
      <c r="K50" s="68"/>
      <c r="N50" s="56"/>
    </row>
    <row r="51" spans="5:14" x14ac:dyDescent="0.2">
      <c r="E51" s="68"/>
      <c r="G51" s="68"/>
      <c r="I51" s="68"/>
      <c r="K51" s="68"/>
      <c r="N51" s="56"/>
    </row>
    <row r="52" spans="5:14" x14ac:dyDescent="0.2">
      <c r="E52" s="68"/>
      <c r="G52" s="68"/>
      <c r="I52" s="68"/>
      <c r="K52" s="68"/>
      <c r="N52" s="56"/>
    </row>
    <row r="53" spans="5:14" x14ac:dyDescent="0.2">
      <c r="E53" s="68"/>
      <c r="G53" s="68"/>
      <c r="I53" s="68"/>
      <c r="K53" s="68"/>
      <c r="N53" s="56"/>
    </row>
    <row r="54" spans="5:14" x14ac:dyDescent="0.2">
      <c r="N54" s="56"/>
    </row>
    <row r="55" spans="5:14" x14ac:dyDescent="0.2">
      <c r="N55" s="56"/>
    </row>
    <row r="56" spans="5:14" x14ac:dyDescent="0.2">
      <c r="N56" s="56"/>
    </row>
    <row r="57" spans="5:14" x14ac:dyDescent="0.2">
      <c r="N57" s="56"/>
    </row>
    <row r="58" spans="5:14" x14ac:dyDescent="0.2">
      <c r="N58" s="56"/>
    </row>
    <row r="59" spans="5:14" x14ac:dyDescent="0.2">
      <c r="N59" s="56"/>
    </row>
  </sheetData>
  <sheetProtection password="CC0B" sheet="1" objects="1" scenarios="1" selectLockedCells="1" selectUnlockedCells="1"/>
  <autoFilter ref="A1:AB47" xr:uid="{00000000-0009-0000-0000-000007000000}"/>
  <printOptions horizontalCentered="1"/>
  <pageMargins left="0.23622047244094491" right="0.23622047244094491" top="0.55118110236220474" bottom="0.27559055118110237" header="0.31496062992125984" footer="0.15748031496062992"/>
  <pageSetup paperSize="9" scale="73" fitToWidth="0" orientation="landscape" r:id="rId1"/>
  <headerFooter alignWithMargins="0">
    <oddHeader xml:space="preserve">&amp;C&amp;"Calibri,Negrita"&amp;12&amp;ETABLA SALARIAL CONVENIO SERVICIOS SECURITAS, S.A.  (2016)
</oddHeader>
  </headerFooter>
  <colBreaks count="1" manualBreakCount="1">
    <brk id="2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57"/>
  <sheetViews>
    <sheetView zoomScale="110" zoomScaleNormal="110" workbookViewId="0">
      <pane ySplit="1" topLeftCell="A2" activePane="bottomLeft" state="frozen"/>
      <selection pane="bottomLeft" activeCell="D16" sqref="D16"/>
    </sheetView>
  </sheetViews>
  <sheetFormatPr baseColWidth="10" defaultColWidth="10.140625" defaultRowHeight="12.75" x14ac:dyDescent="0.2"/>
  <cols>
    <col min="1" max="1" width="6.42578125" style="85" bestFit="1" customWidth="1"/>
    <col min="2" max="2" width="6.42578125" style="85" customWidth="1"/>
    <col min="3" max="3" width="9.7109375" style="85" bestFit="1" customWidth="1"/>
    <col min="4" max="4" width="42.28515625" style="79" bestFit="1" customWidth="1"/>
    <col min="5" max="5" width="8" style="79" customWidth="1"/>
    <col min="6" max="6" width="7.7109375" style="79" hidden="1" customWidth="1"/>
    <col min="7" max="7" width="7.5703125" style="79" customWidth="1"/>
    <col min="8" max="8" width="6.85546875" style="79" hidden="1" customWidth="1"/>
    <col min="9" max="9" width="6.7109375" style="79" customWidth="1"/>
    <col min="10" max="10" width="6.7109375" style="79" hidden="1" customWidth="1"/>
    <col min="11" max="11" width="6.42578125" style="79" customWidth="1"/>
    <col min="12" max="12" width="6.5703125" style="79" hidden="1" customWidth="1"/>
    <col min="13" max="13" width="8.7109375" style="79" customWidth="1"/>
    <col min="14" max="14" width="9" style="79" customWidth="1"/>
    <col min="15" max="15" width="7.85546875" style="79" bestFit="1" customWidth="1"/>
    <col min="16" max="16" width="7.85546875" style="79" customWidth="1"/>
    <col min="17" max="17" width="8.85546875" style="79" bestFit="1" customWidth="1"/>
    <col min="18" max="18" width="6.85546875" style="79" bestFit="1" customWidth="1"/>
    <col min="19" max="19" width="10.5703125" style="79" customWidth="1"/>
    <col min="20" max="20" width="7.85546875" style="79" bestFit="1" customWidth="1"/>
    <col min="21" max="21" width="8" style="79" bestFit="1" customWidth="1"/>
    <col min="22" max="22" width="9" style="79" customWidth="1"/>
    <col min="23" max="23" width="8.140625" style="79" customWidth="1"/>
    <col min="24" max="24" width="9" style="79" customWidth="1"/>
    <col min="25" max="16384" width="10.140625" style="79"/>
  </cols>
  <sheetData>
    <row r="1" spans="1:14" s="133" customFormat="1" ht="39.75" customHeight="1" x14ac:dyDescent="0.2">
      <c r="A1" s="130" t="s">
        <v>69</v>
      </c>
      <c r="B1" s="130" t="s">
        <v>70</v>
      </c>
      <c r="C1" s="130" t="s">
        <v>0</v>
      </c>
      <c r="D1" s="131" t="s">
        <v>1</v>
      </c>
      <c r="E1" s="132" t="s">
        <v>2</v>
      </c>
      <c r="F1" s="74">
        <v>110021</v>
      </c>
      <c r="G1" s="132" t="s">
        <v>3</v>
      </c>
      <c r="H1" s="75">
        <v>15220</v>
      </c>
      <c r="I1" s="132" t="s">
        <v>4</v>
      </c>
      <c r="J1" s="75">
        <v>116220</v>
      </c>
      <c r="K1" s="132" t="s">
        <v>5</v>
      </c>
      <c r="L1" s="74">
        <v>117520</v>
      </c>
      <c r="M1" s="131" t="s">
        <v>62</v>
      </c>
      <c r="N1" s="132" t="s">
        <v>63</v>
      </c>
    </row>
    <row r="2" spans="1:14" ht="18" customHeight="1" x14ac:dyDescent="0.2">
      <c r="A2" s="76"/>
      <c r="B2" s="76"/>
      <c r="C2" s="76"/>
      <c r="D2" s="123" t="s">
        <v>13</v>
      </c>
      <c r="E2" s="77"/>
      <c r="F2" s="78"/>
      <c r="G2" s="77"/>
      <c r="H2" s="78"/>
      <c r="I2" s="77"/>
      <c r="J2" s="78"/>
      <c r="K2" s="77"/>
      <c r="L2" s="77"/>
      <c r="M2" s="77"/>
      <c r="N2" s="77"/>
    </row>
    <row r="3" spans="1:14" ht="17.100000000000001" customHeight="1" x14ac:dyDescent="0.2">
      <c r="A3" s="80">
        <v>1</v>
      </c>
      <c r="B3" s="80" t="s">
        <v>71</v>
      </c>
      <c r="C3" s="107">
        <v>2102</v>
      </c>
      <c r="D3" s="97" t="s">
        <v>14</v>
      </c>
      <c r="E3" s="110">
        <v>1544.35</v>
      </c>
      <c r="F3" s="111">
        <f t="shared" ref="F3:F18" si="0">E3/30</f>
        <v>51.478333333333332</v>
      </c>
      <c r="G3" s="110">
        <v>69.38</v>
      </c>
      <c r="H3" s="112">
        <f t="shared" ref="H3:H24" si="1">G3/30</f>
        <v>2.3126666666666664</v>
      </c>
      <c r="I3" s="113"/>
      <c r="J3" s="114"/>
      <c r="K3" s="113"/>
      <c r="L3" s="113"/>
      <c r="M3" s="115">
        <f t="shared" ref="M3:M10" si="2">+K3+I3+G3+E3</f>
        <v>1613.73</v>
      </c>
      <c r="N3" s="113">
        <f t="shared" ref="N3:N10" si="3">((E3+K3)*14)+((G3+I3)*12)</f>
        <v>22453.46</v>
      </c>
    </row>
    <row r="4" spans="1:14" ht="17.100000000000001" customHeight="1" x14ac:dyDescent="0.2">
      <c r="A4" s="80">
        <v>1</v>
      </c>
      <c r="B4" s="80" t="s">
        <v>71</v>
      </c>
      <c r="C4" s="107">
        <v>2105</v>
      </c>
      <c r="D4" s="97" t="s">
        <v>15</v>
      </c>
      <c r="E4" s="110">
        <v>1468.42</v>
      </c>
      <c r="F4" s="111">
        <f t="shared" si="0"/>
        <v>48.947333333333333</v>
      </c>
      <c r="G4" s="110">
        <v>69.38</v>
      </c>
      <c r="H4" s="112">
        <f t="shared" si="1"/>
        <v>2.3126666666666664</v>
      </c>
      <c r="I4" s="113"/>
      <c r="J4" s="114"/>
      <c r="K4" s="113"/>
      <c r="L4" s="113"/>
      <c r="M4" s="115">
        <f t="shared" si="2"/>
        <v>1537.8000000000002</v>
      </c>
      <c r="N4" s="113">
        <f t="shared" si="3"/>
        <v>21390.440000000002</v>
      </c>
    </row>
    <row r="5" spans="1:14" ht="17.100000000000001" customHeight="1" x14ac:dyDescent="0.2">
      <c r="A5" s="80">
        <v>1</v>
      </c>
      <c r="B5" s="80" t="s">
        <v>71</v>
      </c>
      <c r="C5" s="107">
        <v>2109</v>
      </c>
      <c r="D5" s="97" t="s">
        <v>16</v>
      </c>
      <c r="E5" s="110">
        <v>1468.42</v>
      </c>
      <c r="F5" s="111">
        <f t="shared" si="0"/>
        <v>48.947333333333333</v>
      </c>
      <c r="G5" s="110">
        <v>69.38</v>
      </c>
      <c r="H5" s="112">
        <f t="shared" si="1"/>
        <v>2.3126666666666664</v>
      </c>
      <c r="I5" s="113"/>
      <c r="J5" s="114"/>
      <c r="K5" s="113"/>
      <c r="L5" s="113"/>
      <c r="M5" s="115">
        <f t="shared" si="2"/>
        <v>1537.8000000000002</v>
      </c>
      <c r="N5" s="113">
        <f t="shared" si="3"/>
        <v>21390.440000000002</v>
      </c>
    </row>
    <row r="6" spans="1:14" ht="17.100000000000001" customHeight="1" x14ac:dyDescent="0.2">
      <c r="A6" s="80">
        <v>1</v>
      </c>
      <c r="B6" s="80" t="s">
        <v>71</v>
      </c>
      <c r="C6" s="107">
        <v>2103</v>
      </c>
      <c r="D6" s="97" t="s">
        <v>46</v>
      </c>
      <c r="E6" s="110">
        <v>1468.42</v>
      </c>
      <c r="F6" s="111">
        <f t="shared" si="0"/>
        <v>48.947333333333333</v>
      </c>
      <c r="G6" s="110">
        <v>69.38</v>
      </c>
      <c r="H6" s="112">
        <f t="shared" si="1"/>
        <v>2.3126666666666664</v>
      </c>
      <c r="I6" s="113"/>
      <c r="J6" s="114"/>
      <c r="K6" s="113"/>
      <c r="L6" s="113"/>
      <c r="M6" s="115">
        <f t="shared" si="2"/>
        <v>1537.8000000000002</v>
      </c>
      <c r="N6" s="113">
        <f t="shared" si="3"/>
        <v>21390.440000000002</v>
      </c>
    </row>
    <row r="7" spans="1:14" ht="17.100000000000001" customHeight="1" x14ac:dyDescent="0.2">
      <c r="A7" s="80">
        <v>3</v>
      </c>
      <c r="B7" s="80" t="s">
        <v>71</v>
      </c>
      <c r="C7" s="107">
        <v>2122</v>
      </c>
      <c r="D7" s="97" t="s">
        <v>17</v>
      </c>
      <c r="E7" s="110">
        <v>1396.44</v>
      </c>
      <c r="F7" s="111">
        <f t="shared" si="0"/>
        <v>46.548000000000002</v>
      </c>
      <c r="G7" s="110">
        <v>69.38</v>
      </c>
      <c r="H7" s="112">
        <f t="shared" si="1"/>
        <v>2.3126666666666664</v>
      </c>
      <c r="I7" s="113"/>
      <c r="J7" s="114"/>
      <c r="K7" s="113"/>
      <c r="L7" s="113"/>
      <c r="M7" s="115">
        <f t="shared" si="2"/>
        <v>1465.8200000000002</v>
      </c>
      <c r="N7" s="113">
        <f t="shared" si="3"/>
        <v>20382.72</v>
      </c>
    </row>
    <row r="8" spans="1:14" ht="17.100000000000001" customHeight="1" x14ac:dyDescent="0.2">
      <c r="A8" s="80">
        <v>1</v>
      </c>
      <c r="B8" s="80" t="s">
        <v>71</v>
      </c>
      <c r="C8" s="107">
        <v>2126</v>
      </c>
      <c r="D8" s="97" t="s">
        <v>47</v>
      </c>
      <c r="E8" s="110">
        <v>1396.44</v>
      </c>
      <c r="F8" s="111">
        <f t="shared" si="0"/>
        <v>46.548000000000002</v>
      </c>
      <c r="G8" s="110">
        <v>69.38</v>
      </c>
      <c r="H8" s="112">
        <f t="shared" si="1"/>
        <v>2.3126666666666664</v>
      </c>
      <c r="I8" s="113"/>
      <c r="J8" s="114"/>
      <c r="K8" s="113"/>
      <c r="L8" s="113"/>
      <c r="M8" s="115">
        <f t="shared" si="2"/>
        <v>1465.8200000000002</v>
      </c>
      <c r="N8" s="113">
        <f t="shared" si="3"/>
        <v>20382.72</v>
      </c>
    </row>
    <row r="9" spans="1:14" ht="17.100000000000001" customHeight="1" x14ac:dyDescent="0.2">
      <c r="A9" s="80">
        <v>1</v>
      </c>
      <c r="B9" s="80" t="s">
        <v>71</v>
      </c>
      <c r="C9" s="107">
        <v>2113</v>
      </c>
      <c r="D9" s="97" t="s">
        <v>18</v>
      </c>
      <c r="E9" s="110">
        <v>1396.44</v>
      </c>
      <c r="F9" s="111">
        <f t="shared" si="0"/>
        <v>46.548000000000002</v>
      </c>
      <c r="G9" s="110">
        <v>69.38</v>
      </c>
      <c r="H9" s="112">
        <f t="shared" si="1"/>
        <v>2.3126666666666664</v>
      </c>
      <c r="I9" s="113"/>
      <c r="J9" s="114"/>
      <c r="K9" s="113"/>
      <c r="L9" s="113"/>
      <c r="M9" s="115">
        <f t="shared" si="2"/>
        <v>1465.8200000000002</v>
      </c>
      <c r="N9" s="113">
        <f t="shared" si="3"/>
        <v>20382.72</v>
      </c>
    </row>
    <row r="10" spans="1:14" ht="17.100000000000001" customHeight="1" x14ac:dyDescent="0.2">
      <c r="A10" s="80">
        <v>2</v>
      </c>
      <c r="B10" s="80" t="s">
        <v>71</v>
      </c>
      <c r="C10" s="107">
        <v>2114</v>
      </c>
      <c r="D10" s="97" t="s">
        <v>19</v>
      </c>
      <c r="E10" s="110">
        <v>1328.09</v>
      </c>
      <c r="F10" s="111">
        <f t="shared" si="0"/>
        <v>44.269666666666666</v>
      </c>
      <c r="G10" s="110">
        <v>69.38</v>
      </c>
      <c r="H10" s="112">
        <f t="shared" si="1"/>
        <v>2.3126666666666664</v>
      </c>
      <c r="I10" s="113"/>
      <c r="J10" s="114"/>
      <c r="K10" s="113"/>
      <c r="L10" s="113"/>
      <c r="M10" s="115">
        <f t="shared" si="2"/>
        <v>1397.4699999999998</v>
      </c>
      <c r="N10" s="113">
        <f t="shared" si="3"/>
        <v>19425.82</v>
      </c>
    </row>
    <row r="11" spans="1:14" ht="18" customHeight="1" x14ac:dyDescent="0.2">
      <c r="A11" s="81"/>
      <c r="B11" s="81"/>
      <c r="C11" s="108"/>
      <c r="D11" s="124" t="s">
        <v>20</v>
      </c>
      <c r="E11" s="116"/>
      <c r="F11" s="117"/>
      <c r="G11" s="116"/>
      <c r="H11" s="117"/>
      <c r="I11" s="118"/>
      <c r="J11" s="119"/>
      <c r="K11" s="118"/>
      <c r="L11" s="118"/>
      <c r="M11" s="118"/>
      <c r="N11" s="116"/>
    </row>
    <row r="12" spans="1:14" ht="17.100000000000001" customHeight="1" x14ac:dyDescent="0.2">
      <c r="A12" s="80">
        <v>3</v>
      </c>
      <c r="B12" s="80" t="s">
        <v>71</v>
      </c>
      <c r="C12" s="107">
        <v>2201</v>
      </c>
      <c r="D12" s="97" t="s">
        <v>21</v>
      </c>
      <c r="E12" s="110">
        <v>1335.01</v>
      </c>
      <c r="F12" s="111">
        <f t="shared" si="0"/>
        <v>44.50033333333333</v>
      </c>
      <c r="G12" s="110">
        <v>69.38</v>
      </c>
      <c r="H12" s="112">
        <f t="shared" si="1"/>
        <v>2.3126666666666664</v>
      </c>
      <c r="I12" s="113"/>
      <c r="J12" s="114"/>
      <c r="K12" s="113"/>
      <c r="L12" s="113"/>
      <c r="M12" s="115">
        <f t="shared" ref="M12" si="4">+K12+I12+G12+E12</f>
        <v>1404.3899999999999</v>
      </c>
      <c r="N12" s="113">
        <f t="shared" ref="N12:N18" si="5">((E12+K12)*14)+((G12+I12)*12)</f>
        <v>19522.7</v>
      </c>
    </row>
    <row r="13" spans="1:14" ht="17.100000000000001" customHeight="1" x14ac:dyDescent="0.2">
      <c r="A13" s="80">
        <v>3</v>
      </c>
      <c r="B13" s="80" t="s">
        <v>71</v>
      </c>
      <c r="C13" s="107">
        <v>2202</v>
      </c>
      <c r="D13" s="97" t="s">
        <v>22</v>
      </c>
      <c r="E13" s="110">
        <v>1196.1199999999999</v>
      </c>
      <c r="F13" s="111">
        <f t="shared" si="0"/>
        <v>39.870666666666665</v>
      </c>
      <c r="G13" s="110">
        <v>69.38</v>
      </c>
      <c r="H13" s="112">
        <f t="shared" si="1"/>
        <v>2.3126666666666664</v>
      </c>
      <c r="I13" s="113"/>
      <c r="J13" s="114"/>
      <c r="K13" s="113"/>
      <c r="L13" s="113"/>
      <c r="M13" s="115">
        <f t="shared" ref="M13:M17" si="6">+K13+I13+G13+E13</f>
        <v>1265.5</v>
      </c>
      <c r="N13" s="113">
        <f t="shared" si="5"/>
        <v>17578.240000000002</v>
      </c>
    </row>
    <row r="14" spans="1:14" ht="17.100000000000001" customHeight="1" x14ac:dyDescent="0.2">
      <c r="A14" s="80">
        <v>5</v>
      </c>
      <c r="B14" s="80" t="s">
        <v>71</v>
      </c>
      <c r="C14" s="107">
        <v>2203</v>
      </c>
      <c r="D14" s="97" t="s">
        <v>23</v>
      </c>
      <c r="E14" s="110">
        <v>986.07</v>
      </c>
      <c r="F14" s="111">
        <f t="shared" si="0"/>
        <v>32.869</v>
      </c>
      <c r="G14" s="110">
        <v>69.38</v>
      </c>
      <c r="H14" s="112">
        <f t="shared" si="1"/>
        <v>2.3126666666666664</v>
      </c>
      <c r="I14" s="113"/>
      <c r="J14" s="114"/>
      <c r="K14" s="113"/>
      <c r="L14" s="113"/>
      <c r="M14" s="115">
        <f t="shared" si="6"/>
        <v>1055.45</v>
      </c>
      <c r="N14" s="113">
        <f t="shared" si="5"/>
        <v>14637.54</v>
      </c>
    </row>
    <row r="15" spans="1:14" ht="17.100000000000001" customHeight="1" x14ac:dyDescent="0.2">
      <c r="A15" s="80">
        <v>5</v>
      </c>
      <c r="B15" s="80" t="s">
        <v>71</v>
      </c>
      <c r="C15" s="107">
        <v>2204</v>
      </c>
      <c r="D15" s="97" t="s">
        <v>24</v>
      </c>
      <c r="E15" s="110">
        <v>906.56</v>
      </c>
      <c r="F15" s="111">
        <f t="shared" si="0"/>
        <v>30.218666666666664</v>
      </c>
      <c r="G15" s="110">
        <v>69.38</v>
      </c>
      <c r="H15" s="112">
        <f t="shared" si="1"/>
        <v>2.3126666666666664</v>
      </c>
      <c r="I15" s="113"/>
      <c r="J15" s="114"/>
      <c r="K15" s="113"/>
      <c r="L15" s="113"/>
      <c r="M15" s="115">
        <f t="shared" si="6"/>
        <v>975.93999999999994</v>
      </c>
      <c r="N15" s="113">
        <f t="shared" si="5"/>
        <v>13524.4</v>
      </c>
    </row>
    <row r="16" spans="1:14" ht="17.100000000000001" customHeight="1" x14ac:dyDescent="0.2">
      <c r="A16" s="80">
        <v>7</v>
      </c>
      <c r="B16" s="80" t="s">
        <v>71</v>
      </c>
      <c r="C16" s="107">
        <v>2206</v>
      </c>
      <c r="D16" s="97" t="s">
        <v>25</v>
      </c>
      <c r="E16" s="110">
        <v>707.7</v>
      </c>
      <c r="F16" s="111">
        <f t="shared" si="0"/>
        <v>23.59</v>
      </c>
      <c r="G16" s="110">
        <v>69.38</v>
      </c>
      <c r="H16" s="112">
        <f t="shared" si="1"/>
        <v>2.3126666666666664</v>
      </c>
      <c r="I16" s="113"/>
      <c r="J16" s="114"/>
      <c r="K16" s="113"/>
      <c r="L16" s="113"/>
      <c r="M16" s="115">
        <f t="shared" si="6"/>
        <v>777.08</v>
      </c>
      <c r="N16" s="113">
        <f t="shared" si="5"/>
        <v>10740.36</v>
      </c>
    </row>
    <row r="17" spans="1:14" ht="17.100000000000001" customHeight="1" x14ac:dyDescent="0.2">
      <c r="A17" s="80">
        <v>9</v>
      </c>
      <c r="B17" s="80" t="s">
        <v>71</v>
      </c>
      <c r="C17" s="107">
        <v>2210</v>
      </c>
      <c r="D17" s="87" t="s">
        <v>26</v>
      </c>
      <c r="E17" s="110">
        <v>707.7</v>
      </c>
      <c r="F17" s="111">
        <f t="shared" si="0"/>
        <v>23.59</v>
      </c>
      <c r="G17" s="110">
        <v>57.83</v>
      </c>
      <c r="H17" s="112">
        <f t="shared" si="1"/>
        <v>1.9276666666666666</v>
      </c>
      <c r="I17" s="110"/>
      <c r="J17" s="120"/>
      <c r="K17" s="110"/>
      <c r="L17" s="110"/>
      <c r="M17" s="121">
        <f t="shared" si="6"/>
        <v>765.53000000000009</v>
      </c>
      <c r="N17" s="110">
        <f t="shared" si="5"/>
        <v>10601.760000000002</v>
      </c>
    </row>
    <row r="18" spans="1:14" ht="17.100000000000001" customHeight="1" x14ac:dyDescent="0.2">
      <c r="A18" s="80">
        <v>7</v>
      </c>
      <c r="B18" s="80" t="s">
        <v>72</v>
      </c>
      <c r="C18" s="107"/>
      <c r="D18" s="97" t="s">
        <v>60</v>
      </c>
      <c r="E18" s="110">
        <v>707.7</v>
      </c>
      <c r="F18" s="111">
        <f t="shared" si="0"/>
        <v>23.59</v>
      </c>
      <c r="G18" s="110">
        <v>69.38</v>
      </c>
      <c r="H18" s="112">
        <f t="shared" si="1"/>
        <v>2.3126666666666664</v>
      </c>
      <c r="I18" s="113"/>
      <c r="J18" s="114"/>
      <c r="K18" s="113"/>
      <c r="L18" s="113"/>
      <c r="M18" s="115">
        <f>+K18+I18+G18+E18</f>
        <v>777.08</v>
      </c>
      <c r="N18" s="113">
        <f t="shared" si="5"/>
        <v>10740.36</v>
      </c>
    </row>
    <row r="19" spans="1:14" ht="18" customHeight="1" x14ac:dyDescent="0.2">
      <c r="A19" s="81"/>
      <c r="B19" s="81"/>
      <c r="C19" s="108"/>
      <c r="D19" s="124" t="s">
        <v>28</v>
      </c>
      <c r="E19" s="116"/>
      <c r="F19" s="117"/>
      <c r="G19" s="116"/>
      <c r="H19" s="117"/>
      <c r="I19" s="116"/>
      <c r="J19" s="117"/>
      <c r="K19" s="116"/>
      <c r="L19" s="116"/>
      <c r="M19" s="118"/>
      <c r="N19" s="116"/>
    </row>
    <row r="20" spans="1:14" ht="17.100000000000001" customHeight="1" x14ac:dyDescent="0.2">
      <c r="A20" s="80">
        <v>3</v>
      </c>
      <c r="B20" s="80" t="s">
        <v>72</v>
      </c>
      <c r="C20" s="107">
        <v>2504</v>
      </c>
      <c r="D20" s="97" t="s">
        <v>29</v>
      </c>
      <c r="E20" s="113">
        <v>1328.09</v>
      </c>
      <c r="F20" s="111">
        <f t="shared" ref="F20:F24" si="7">E20/30</f>
        <v>44.269666666666666</v>
      </c>
      <c r="G20" s="113">
        <v>69.38</v>
      </c>
      <c r="H20" s="112">
        <f t="shared" si="1"/>
        <v>2.3126666666666664</v>
      </c>
      <c r="I20" s="113"/>
      <c r="J20" s="114"/>
      <c r="K20" s="113"/>
      <c r="L20" s="113"/>
      <c r="M20" s="115">
        <f>+K20+I20+G20+E20</f>
        <v>1397.4699999999998</v>
      </c>
      <c r="N20" s="113">
        <f>((E20+K20)*14)+((G20+I20)*12)</f>
        <v>19425.82</v>
      </c>
    </row>
    <row r="21" spans="1:14" ht="17.100000000000001" customHeight="1" x14ac:dyDescent="0.2">
      <c r="A21" s="80">
        <v>5</v>
      </c>
      <c r="B21" s="80" t="s">
        <v>72</v>
      </c>
      <c r="C21" s="107">
        <v>2227</v>
      </c>
      <c r="D21" s="97" t="s">
        <v>30</v>
      </c>
      <c r="E21" s="113">
        <v>986.07</v>
      </c>
      <c r="F21" s="111">
        <f t="shared" si="7"/>
        <v>32.869</v>
      </c>
      <c r="G21" s="113">
        <v>69.38</v>
      </c>
      <c r="H21" s="112">
        <f t="shared" si="1"/>
        <v>2.3126666666666664</v>
      </c>
      <c r="I21" s="113"/>
      <c r="J21" s="114"/>
      <c r="K21" s="113"/>
      <c r="L21" s="113"/>
      <c r="M21" s="115">
        <f>+K21+I21+G21+E21</f>
        <v>1055.45</v>
      </c>
      <c r="N21" s="113">
        <f>((E21+K21)*14)+((G21+I21)*12)</f>
        <v>14637.54</v>
      </c>
    </row>
    <row r="22" spans="1:14" ht="18" customHeight="1" x14ac:dyDescent="0.2">
      <c r="A22" s="81"/>
      <c r="B22" s="81"/>
      <c r="C22" s="108"/>
      <c r="D22" s="124" t="s">
        <v>94</v>
      </c>
      <c r="E22" s="116"/>
      <c r="F22" s="117"/>
      <c r="G22" s="116"/>
      <c r="H22" s="117"/>
      <c r="I22" s="116"/>
      <c r="J22" s="117"/>
      <c r="K22" s="116"/>
      <c r="L22" s="116"/>
      <c r="M22" s="118"/>
      <c r="N22" s="116"/>
    </row>
    <row r="23" spans="1:14" ht="17.100000000000001" customHeight="1" x14ac:dyDescent="0.2">
      <c r="A23" s="80">
        <v>3</v>
      </c>
      <c r="B23" s="80" t="s">
        <v>72</v>
      </c>
      <c r="C23" s="107">
        <v>2120</v>
      </c>
      <c r="D23" s="97" t="s">
        <v>48</v>
      </c>
      <c r="E23" s="110">
        <v>1335.01</v>
      </c>
      <c r="F23" s="111">
        <f t="shared" si="7"/>
        <v>44.50033333333333</v>
      </c>
      <c r="G23" s="110">
        <v>69.38</v>
      </c>
      <c r="H23" s="112">
        <f t="shared" si="1"/>
        <v>2.3126666666666664</v>
      </c>
      <c r="I23" s="113"/>
      <c r="J23" s="114"/>
      <c r="K23" s="113"/>
      <c r="L23" s="113"/>
      <c r="M23" s="115">
        <f t="shared" ref="M23:M24" si="8">+K23+I23+G23+E23</f>
        <v>1404.3899999999999</v>
      </c>
      <c r="N23" s="113">
        <f>((E23+K23)*14)+((G23+I23)*12)</f>
        <v>19522.7</v>
      </c>
    </row>
    <row r="24" spans="1:14" ht="17.100000000000001" customHeight="1" x14ac:dyDescent="0.2">
      <c r="A24" s="80">
        <v>5</v>
      </c>
      <c r="B24" s="80" t="s">
        <v>72</v>
      </c>
      <c r="C24" s="107">
        <v>2207</v>
      </c>
      <c r="D24" s="97" t="s">
        <v>49</v>
      </c>
      <c r="E24" s="110">
        <v>994.29</v>
      </c>
      <c r="F24" s="111">
        <f t="shared" si="7"/>
        <v>33.143000000000001</v>
      </c>
      <c r="G24" s="110">
        <v>69.38</v>
      </c>
      <c r="H24" s="112">
        <f t="shared" si="1"/>
        <v>2.3126666666666664</v>
      </c>
      <c r="I24" s="113"/>
      <c r="J24" s="114"/>
      <c r="K24" s="113"/>
      <c r="L24" s="113"/>
      <c r="M24" s="115">
        <f t="shared" si="8"/>
        <v>1063.67</v>
      </c>
      <c r="N24" s="113">
        <f>((E24+K24)*14)+((G24+I24)*12)</f>
        <v>14752.619999999999</v>
      </c>
    </row>
    <row r="25" spans="1:14" ht="18" customHeight="1" x14ac:dyDescent="0.2">
      <c r="A25" s="81"/>
      <c r="B25" s="81"/>
      <c r="C25" s="108"/>
      <c r="D25" s="124" t="s">
        <v>31</v>
      </c>
      <c r="E25" s="116"/>
      <c r="F25" s="117"/>
      <c r="G25" s="116"/>
      <c r="H25" s="117"/>
      <c r="I25" s="116"/>
      <c r="J25" s="117"/>
      <c r="K25" s="116"/>
      <c r="L25" s="116"/>
      <c r="M25" s="118"/>
      <c r="N25" s="116"/>
    </row>
    <row r="26" spans="1:14" ht="17.100000000000001" hidden="1" customHeight="1" x14ac:dyDescent="0.2">
      <c r="A26" s="82">
        <v>6</v>
      </c>
      <c r="B26" s="82" t="s">
        <v>73</v>
      </c>
      <c r="C26" s="109">
        <v>2057</v>
      </c>
      <c r="D26" s="87" t="s">
        <v>91</v>
      </c>
      <c r="E26" s="110">
        <v>707.7</v>
      </c>
      <c r="F26" s="120">
        <f t="shared" ref="F26:F32" si="9">E26/30</f>
        <v>23.59</v>
      </c>
      <c r="G26" s="110">
        <v>89.76</v>
      </c>
      <c r="H26" s="120">
        <f t="shared" ref="H26:H32" si="10">G26/30</f>
        <v>2.992</v>
      </c>
      <c r="I26" s="110">
        <v>34.32</v>
      </c>
      <c r="J26" s="120">
        <f t="shared" ref="J26:J33" si="11">I26/30</f>
        <v>1.1439999999999999</v>
      </c>
      <c r="K26" s="110"/>
      <c r="L26" s="110"/>
      <c r="M26" s="121">
        <f t="shared" ref="M26:M42" si="12">+K26+I26+G26+E26</f>
        <v>831.78000000000009</v>
      </c>
      <c r="N26" s="110">
        <f t="shared" ref="N26:N42" si="13">((E26+K26)*14)+((G26+I26)*12)</f>
        <v>11396.760000000002</v>
      </c>
    </row>
    <row r="27" spans="1:14" ht="17.100000000000001" customHeight="1" x14ac:dyDescent="0.2">
      <c r="A27" s="80">
        <v>6</v>
      </c>
      <c r="B27" s="80" t="s">
        <v>73</v>
      </c>
      <c r="C27" s="107">
        <v>2047</v>
      </c>
      <c r="D27" s="87" t="s">
        <v>66</v>
      </c>
      <c r="E27" s="110">
        <v>714.15</v>
      </c>
      <c r="F27" s="111">
        <f t="shared" si="9"/>
        <v>23.805</v>
      </c>
      <c r="G27" s="110">
        <v>57.83</v>
      </c>
      <c r="H27" s="112">
        <f t="shared" si="10"/>
        <v>1.9276666666666666</v>
      </c>
      <c r="I27" s="113">
        <v>27.76</v>
      </c>
      <c r="J27" s="111">
        <f t="shared" si="11"/>
        <v>0.92533333333333334</v>
      </c>
      <c r="K27" s="113"/>
      <c r="L27" s="113"/>
      <c r="M27" s="115">
        <f t="shared" si="12"/>
        <v>799.74</v>
      </c>
      <c r="N27" s="113">
        <f t="shared" si="13"/>
        <v>11025.18</v>
      </c>
    </row>
    <row r="28" spans="1:14" ht="17.100000000000001" customHeight="1" x14ac:dyDescent="0.2">
      <c r="A28" s="80">
        <v>6</v>
      </c>
      <c r="B28" s="80" t="s">
        <v>72</v>
      </c>
      <c r="C28" s="107">
        <v>2042</v>
      </c>
      <c r="D28" s="87" t="s">
        <v>65</v>
      </c>
      <c r="E28" s="110">
        <v>714.15</v>
      </c>
      <c r="F28" s="111">
        <f t="shared" si="9"/>
        <v>23.805</v>
      </c>
      <c r="G28" s="110">
        <v>57.83</v>
      </c>
      <c r="H28" s="112">
        <f t="shared" si="10"/>
        <v>1.9276666666666666</v>
      </c>
      <c r="I28" s="113">
        <v>27.76</v>
      </c>
      <c r="J28" s="111">
        <f t="shared" si="11"/>
        <v>0.92533333333333334</v>
      </c>
      <c r="K28" s="113"/>
      <c r="L28" s="113"/>
      <c r="M28" s="115">
        <f t="shared" si="12"/>
        <v>799.74</v>
      </c>
      <c r="N28" s="113">
        <f t="shared" si="13"/>
        <v>11025.18</v>
      </c>
    </row>
    <row r="29" spans="1:14" ht="17.100000000000001" customHeight="1" x14ac:dyDescent="0.2">
      <c r="A29" s="80">
        <v>6</v>
      </c>
      <c r="B29" s="80" t="s">
        <v>72</v>
      </c>
      <c r="C29" s="107">
        <v>2205</v>
      </c>
      <c r="D29" s="87" t="s">
        <v>33</v>
      </c>
      <c r="E29" s="110">
        <v>714.15</v>
      </c>
      <c r="F29" s="111">
        <f t="shared" si="9"/>
        <v>23.805</v>
      </c>
      <c r="G29" s="110">
        <v>57.83</v>
      </c>
      <c r="H29" s="112">
        <f t="shared" si="10"/>
        <v>1.9276666666666666</v>
      </c>
      <c r="I29" s="113">
        <v>27.76</v>
      </c>
      <c r="J29" s="111">
        <f t="shared" si="11"/>
        <v>0.92533333333333334</v>
      </c>
      <c r="K29" s="113"/>
      <c r="L29" s="113"/>
      <c r="M29" s="115">
        <f t="shared" si="12"/>
        <v>799.74</v>
      </c>
      <c r="N29" s="113">
        <f t="shared" si="13"/>
        <v>11025.18</v>
      </c>
    </row>
    <row r="30" spans="1:14" ht="17.100000000000001" customHeight="1" x14ac:dyDescent="0.2">
      <c r="A30" s="80">
        <v>6</v>
      </c>
      <c r="B30" s="80" t="s">
        <v>73</v>
      </c>
      <c r="C30" s="107">
        <v>2046</v>
      </c>
      <c r="D30" s="97" t="s">
        <v>37</v>
      </c>
      <c r="E30" s="110">
        <v>714.15</v>
      </c>
      <c r="F30" s="111">
        <f t="shared" si="9"/>
        <v>23.805</v>
      </c>
      <c r="G30" s="110">
        <v>69.38</v>
      </c>
      <c r="H30" s="112">
        <f t="shared" si="10"/>
        <v>2.3126666666666664</v>
      </c>
      <c r="I30" s="113">
        <v>27.76</v>
      </c>
      <c r="J30" s="111">
        <f t="shared" si="11"/>
        <v>0.92533333333333334</v>
      </c>
      <c r="K30" s="113">
        <v>78.72</v>
      </c>
      <c r="L30" s="122">
        <f>K30/30</f>
        <v>2.6240000000000001</v>
      </c>
      <c r="M30" s="115">
        <f t="shared" si="12"/>
        <v>890.01</v>
      </c>
      <c r="N30" s="113">
        <f t="shared" si="13"/>
        <v>12265.86</v>
      </c>
    </row>
    <row r="31" spans="1:14" ht="17.100000000000001" customHeight="1" x14ac:dyDescent="0.2">
      <c r="A31" s="80">
        <v>6</v>
      </c>
      <c r="B31" s="80" t="s">
        <v>72</v>
      </c>
      <c r="C31" s="107">
        <v>2048</v>
      </c>
      <c r="D31" s="87" t="s">
        <v>106</v>
      </c>
      <c r="E31" s="110">
        <v>714.15</v>
      </c>
      <c r="F31" s="111">
        <f t="shared" si="9"/>
        <v>23.805</v>
      </c>
      <c r="G31" s="110">
        <v>57.83</v>
      </c>
      <c r="H31" s="112">
        <f t="shared" si="10"/>
        <v>1.9276666666666666</v>
      </c>
      <c r="I31" s="113">
        <v>27.76</v>
      </c>
      <c r="J31" s="111">
        <f t="shared" si="11"/>
        <v>0.92533333333333334</v>
      </c>
      <c r="K31" s="113"/>
      <c r="L31" s="113"/>
      <c r="M31" s="115">
        <f t="shared" si="12"/>
        <v>799.74</v>
      </c>
      <c r="N31" s="113">
        <f t="shared" si="13"/>
        <v>11025.18</v>
      </c>
    </row>
    <row r="32" spans="1:14" s="83" customFormat="1" ht="17.100000000000001" customHeight="1" x14ac:dyDescent="0.2">
      <c r="A32" s="80">
        <v>6</v>
      </c>
      <c r="B32" s="80" t="s">
        <v>72</v>
      </c>
      <c r="C32" s="107">
        <v>2044</v>
      </c>
      <c r="D32" s="87" t="s">
        <v>76</v>
      </c>
      <c r="E32" s="110">
        <v>714.15</v>
      </c>
      <c r="F32" s="111">
        <f t="shared" si="9"/>
        <v>23.805</v>
      </c>
      <c r="G32" s="110">
        <v>57.83</v>
      </c>
      <c r="H32" s="112">
        <f t="shared" si="10"/>
        <v>1.9276666666666666</v>
      </c>
      <c r="I32" s="113">
        <v>27.76</v>
      </c>
      <c r="J32" s="111">
        <f t="shared" si="11"/>
        <v>0.92533333333333334</v>
      </c>
      <c r="K32" s="113"/>
      <c r="L32" s="113"/>
      <c r="M32" s="115">
        <f t="shared" si="12"/>
        <v>799.74</v>
      </c>
      <c r="N32" s="113">
        <f t="shared" si="13"/>
        <v>11025.18</v>
      </c>
    </row>
    <row r="33" spans="1:14" ht="17.100000000000001" hidden="1" customHeight="1" x14ac:dyDescent="0.2">
      <c r="A33" s="82">
        <v>3</v>
      </c>
      <c r="B33" s="82" t="s">
        <v>72</v>
      </c>
      <c r="C33" s="109">
        <v>2510</v>
      </c>
      <c r="D33" s="87" t="s">
        <v>93</v>
      </c>
      <c r="E33" s="110">
        <v>1085.28</v>
      </c>
      <c r="F33" s="120"/>
      <c r="G33" s="110">
        <v>0</v>
      </c>
      <c r="H33" s="120"/>
      <c r="I33" s="110">
        <v>0</v>
      </c>
      <c r="J33" s="120">
        <f t="shared" si="11"/>
        <v>0</v>
      </c>
      <c r="K33" s="110"/>
      <c r="L33" s="110"/>
      <c r="M33" s="121">
        <f t="shared" si="12"/>
        <v>1085.28</v>
      </c>
      <c r="N33" s="110">
        <f t="shared" si="13"/>
        <v>15193.92</v>
      </c>
    </row>
    <row r="34" spans="1:14" ht="17.100000000000001" customHeight="1" x14ac:dyDescent="0.2">
      <c r="A34" s="82">
        <v>6</v>
      </c>
      <c r="B34" s="82" t="s">
        <v>72</v>
      </c>
      <c r="C34" s="109">
        <v>2500</v>
      </c>
      <c r="D34" s="87" t="s">
        <v>77</v>
      </c>
      <c r="E34" s="110">
        <v>714.15</v>
      </c>
      <c r="F34" s="120"/>
      <c r="G34" s="110">
        <v>57.83</v>
      </c>
      <c r="H34" s="120"/>
      <c r="I34" s="110">
        <v>27.76</v>
      </c>
      <c r="J34" s="120"/>
      <c r="K34" s="110"/>
      <c r="L34" s="110"/>
      <c r="M34" s="121">
        <f t="shared" si="12"/>
        <v>799.74</v>
      </c>
      <c r="N34" s="110">
        <f t="shared" si="13"/>
        <v>11025.18</v>
      </c>
    </row>
    <row r="35" spans="1:14" s="83" customFormat="1" ht="17.100000000000001" hidden="1" customHeight="1" x14ac:dyDescent="0.2">
      <c r="A35" s="82">
        <v>7</v>
      </c>
      <c r="B35" s="82" t="s">
        <v>72</v>
      </c>
      <c r="C35" s="109">
        <v>2214</v>
      </c>
      <c r="D35" s="87" t="s">
        <v>92</v>
      </c>
      <c r="E35" s="110">
        <v>1047.3</v>
      </c>
      <c r="F35" s="120"/>
      <c r="G35" s="110">
        <v>0</v>
      </c>
      <c r="H35" s="120"/>
      <c r="I35" s="110">
        <v>0</v>
      </c>
      <c r="J35" s="120"/>
      <c r="K35" s="110"/>
      <c r="L35" s="110"/>
      <c r="M35" s="121">
        <f t="shared" si="12"/>
        <v>1047.3</v>
      </c>
      <c r="N35" s="110">
        <f t="shared" si="13"/>
        <v>14662.199999999999</v>
      </c>
    </row>
    <row r="36" spans="1:14" s="83" customFormat="1" ht="17.100000000000001" hidden="1" customHeight="1" x14ac:dyDescent="0.2">
      <c r="A36" s="82">
        <v>10</v>
      </c>
      <c r="B36" s="82" t="s">
        <v>90</v>
      </c>
      <c r="C36" s="109">
        <v>19906</v>
      </c>
      <c r="D36" s="87" t="s">
        <v>89</v>
      </c>
      <c r="E36" s="110">
        <v>760.35</v>
      </c>
      <c r="F36" s="120"/>
      <c r="G36" s="110">
        <v>0</v>
      </c>
      <c r="H36" s="120"/>
      <c r="I36" s="110">
        <v>0</v>
      </c>
      <c r="J36" s="120"/>
      <c r="K36" s="110">
        <v>55.45</v>
      </c>
      <c r="L36" s="110"/>
      <c r="M36" s="121">
        <f t="shared" si="12"/>
        <v>815.80000000000007</v>
      </c>
      <c r="N36" s="110">
        <f t="shared" si="13"/>
        <v>11421.2</v>
      </c>
    </row>
    <row r="37" spans="1:14" s="83" customFormat="1" ht="17.100000000000001" customHeight="1" x14ac:dyDescent="0.2">
      <c r="A37" s="82">
        <v>6</v>
      </c>
      <c r="B37" s="82" t="s">
        <v>72</v>
      </c>
      <c r="C37" s="109">
        <v>2053</v>
      </c>
      <c r="D37" s="87" t="s">
        <v>88</v>
      </c>
      <c r="E37" s="110">
        <v>883.79</v>
      </c>
      <c r="F37" s="120">
        <f>E37/30</f>
        <v>29.459666666666667</v>
      </c>
      <c r="G37" s="110">
        <v>79.3</v>
      </c>
      <c r="H37" s="120">
        <f>G37/30</f>
        <v>2.6433333333333331</v>
      </c>
      <c r="I37" s="110">
        <v>57.18</v>
      </c>
      <c r="J37" s="120">
        <f t="shared" ref="J37:J42" si="14">I37/30</f>
        <v>1.9059999999999999</v>
      </c>
      <c r="K37" s="110"/>
      <c r="L37" s="110"/>
      <c r="M37" s="121">
        <f t="shared" si="12"/>
        <v>1020.27</v>
      </c>
      <c r="N37" s="110">
        <f t="shared" si="13"/>
        <v>14010.82</v>
      </c>
    </row>
    <row r="38" spans="1:14" s="83" customFormat="1" ht="17.100000000000001" customHeight="1" x14ac:dyDescent="0.2">
      <c r="A38" s="80">
        <v>6</v>
      </c>
      <c r="B38" s="80" t="s">
        <v>72</v>
      </c>
      <c r="C38" s="107">
        <v>2043</v>
      </c>
      <c r="D38" s="87" t="s">
        <v>36</v>
      </c>
      <c r="E38" s="110">
        <v>714.15</v>
      </c>
      <c r="F38" s="111">
        <f>E38/30</f>
        <v>23.805</v>
      </c>
      <c r="G38" s="110">
        <v>57.83</v>
      </c>
      <c r="H38" s="112">
        <f>G38/30</f>
        <v>1.9276666666666666</v>
      </c>
      <c r="I38" s="113">
        <v>27.76</v>
      </c>
      <c r="J38" s="111">
        <f t="shared" si="14"/>
        <v>0.92533333333333334</v>
      </c>
      <c r="K38" s="113"/>
      <c r="L38" s="113"/>
      <c r="M38" s="115">
        <f t="shared" si="12"/>
        <v>799.74</v>
      </c>
      <c r="N38" s="113">
        <f t="shared" si="13"/>
        <v>11025.18</v>
      </c>
    </row>
    <row r="39" spans="1:14" s="83" customFormat="1" ht="17.100000000000001" hidden="1" customHeight="1" x14ac:dyDescent="0.2">
      <c r="A39" s="82">
        <v>6</v>
      </c>
      <c r="B39" s="82" t="s">
        <v>72</v>
      </c>
      <c r="C39" s="109">
        <v>2045</v>
      </c>
      <c r="D39" s="87" t="s">
        <v>96</v>
      </c>
      <c r="E39" s="110">
        <v>714.15</v>
      </c>
      <c r="F39" s="120">
        <f>E39/30</f>
        <v>23.805</v>
      </c>
      <c r="G39" s="110">
        <v>57.83</v>
      </c>
      <c r="H39" s="120">
        <f>G39/30</f>
        <v>1.9276666666666666</v>
      </c>
      <c r="I39" s="110">
        <v>27.76</v>
      </c>
      <c r="J39" s="120">
        <f t="shared" si="14"/>
        <v>0.92533333333333334</v>
      </c>
      <c r="K39" s="110"/>
      <c r="L39" s="110"/>
      <c r="M39" s="121">
        <f t="shared" si="12"/>
        <v>799.74</v>
      </c>
      <c r="N39" s="110">
        <f t="shared" si="13"/>
        <v>11025.18</v>
      </c>
    </row>
    <row r="40" spans="1:14" s="83" customFormat="1" ht="17.100000000000001" customHeight="1" x14ac:dyDescent="0.2">
      <c r="A40" s="80">
        <v>10</v>
      </c>
      <c r="B40" s="80" t="s">
        <v>72</v>
      </c>
      <c r="C40" s="107">
        <v>2051</v>
      </c>
      <c r="D40" s="87" t="s">
        <v>108</v>
      </c>
      <c r="E40" s="110">
        <v>714.15</v>
      </c>
      <c r="F40" s="111">
        <f>E40/30</f>
        <v>23.805</v>
      </c>
      <c r="G40" s="110">
        <v>62.38</v>
      </c>
      <c r="H40" s="112">
        <f>G40/30</f>
        <v>2.0793333333333335</v>
      </c>
      <c r="I40" s="113">
        <v>0</v>
      </c>
      <c r="J40" s="120">
        <f t="shared" si="14"/>
        <v>0</v>
      </c>
      <c r="K40" s="113"/>
      <c r="L40" s="113"/>
      <c r="M40" s="115">
        <f t="shared" si="12"/>
        <v>776.53</v>
      </c>
      <c r="N40" s="113">
        <f t="shared" si="13"/>
        <v>10746.66</v>
      </c>
    </row>
    <row r="41" spans="1:14" s="83" customFormat="1" ht="17.100000000000001" customHeight="1" x14ac:dyDescent="0.2">
      <c r="A41" s="80">
        <v>7</v>
      </c>
      <c r="B41" s="80" t="s">
        <v>72</v>
      </c>
      <c r="C41" s="107">
        <v>2209</v>
      </c>
      <c r="D41" s="87" t="s">
        <v>107</v>
      </c>
      <c r="E41" s="110">
        <v>714.15</v>
      </c>
      <c r="F41" s="111">
        <f>E41/30</f>
        <v>23.805</v>
      </c>
      <c r="G41" s="110">
        <v>57.83</v>
      </c>
      <c r="H41" s="112">
        <f>G41/30</f>
        <v>1.9276666666666666</v>
      </c>
      <c r="I41" s="113">
        <v>27.76</v>
      </c>
      <c r="J41" s="111">
        <f t="shared" si="14"/>
        <v>0.92533333333333334</v>
      </c>
      <c r="K41" s="113"/>
      <c r="L41" s="113"/>
      <c r="M41" s="115">
        <f t="shared" si="12"/>
        <v>799.74</v>
      </c>
      <c r="N41" s="113">
        <f t="shared" si="13"/>
        <v>11025.18</v>
      </c>
    </row>
    <row r="42" spans="1:14" ht="17.100000000000001" hidden="1" customHeight="1" x14ac:dyDescent="0.2">
      <c r="A42" s="82">
        <v>7</v>
      </c>
      <c r="B42" s="82" t="s">
        <v>72</v>
      </c>
      <c r="C42" s="109">
        <v>2215</v>
      </c>
      <c r="D42" s="87" t="s">
        <v>95</v>
      </c>
      <c r="E42" s="110">
        <v>946.91</v>
      </c>
      <c r="F42" s="120"/>
      <c r="G42" s="110">
        <v>0</v>
      </c>
      <c r="H42" s="120"/>
      <c r="I42" s="110">
        <v>0</v>
      </c>
      <c r="J42" s="120">
        <f t="shared" si="14"/>
        <v>0</v>
      </c>
      <c r="K42" s="110"/>
      <c r="L42" s="110"/>
      <c r="M42" s="121">
        <f t="shared" si="12"/>
        <v>946.91</v>
      </c>
      <c r="N42" s="110">
        <f t="shared" si="13"/>
        <v>13256.74</v>
      </c>
    </row>
    <row r="43" spans="1:14" x14ac:dyDescent="0.2">
      <c r="A43" s="84"/>
      <c r="B43" s="84"/>
    </row>
    <row r="44" spans="1:14" s="73" customFormat="1" ht="23.25" customHeight="1" x14ac:dyDescent="0.2">
      <c r="A44" s="129" t="s">
        <v>78</v>
      </c>
      <c r="B44" s="89"/>
      <c r="C44" s="125"/>
      <c r="D44" s="126"/>
      <c r="E44" s="127"/>
      <c r="F44" s="128"/>
      <c r="G44" s="186" t="s">
        <v>103</v>
      </c>
      <c r="H44" s="186"/>
      <c r="I44" s="186"/>
      <c r="J44" s="186"/>
      <c r="K44" s="186"/>
      <c r="L44" s="186"/>
      <c r="M44" s="186"/>
    </row>
    <row r="45" spans="1:14" s="73" customFormat="1" ht="12.95" customHeight="1" x14ac:dyDescent="0.2">
      <c r="A45" s="98" t="s">
        <v>79</v>
      </c>
      <c r="B45" s="99"/>
      <c r="C45" s="99"/>
      <c r="D45" s="99"/>
      <c r="E45" s="104" t="s">
        <v>80</v>
      </c>
      <c r="F45" s="88"/>
      <c r="G45" s="189" t="s">
        <v>97</v>
      </c>
      <c r="H45" s="190"/>
      <c r="I45" s="190"/>
      <c r="J45" s="190"/>
      <c r="K45" s="190"/>
      <c r="L45" s="190"/>
      <c r="M45" s="190"/>
      <c r="N45" s="95">
        <v>0.7</v>
      </c>
    </row>
    <row r="46" spans="1:14" s="73" customFormat="1" ht="12.95" customHeight="1" x14ac:dyDescent="0.2">
      <c r="A46" s="100" t="s">
        <v>81</v>
      </c>
      <c r="B46" s="101"/>
      <c r="C46" s="101"/>
      <c r="D46" s="101"/>
      <c r="E46" s="105" t="s">
        <v>82</v>
      </c>
      <c r="F46" s="88"/>
      <c r="G46" s="187" t="s">
        <v>98</v>
      </c>
      <c r="H46" s="188"/>
      <c r="I46" s="188"/>
      <c r="J46" s="188"/>
      <c r="K46" s="188"/>
      <c r="L46" s="188"/>
      <c r="M46" s="188"/>
      <c r="N46" s="96">
        <v>0.2</v>
      </c>
    </row>
    <row r="47" spans="1:14" s="73" customFormat="1" ht="12.95" customHeight="1" x14ac:dyDescent="0.2">
      <c r="A47" s="100" t="s">
        <v>83</v>
      </c>
      <c r="B47" s="101"/>
      <c r="C47" s="101"/>
      <c r="D47" s="101"/>
      <c r="E47" s="105" t="s">
        <v>84</v>
      </c>
      <c r="F47" s="88"/>
      <c r="G47" s="187" t="s">
        <v>99</v>
      </c>
      <c r="H47" s="188"/>
      <c r="I47" s="188"/>
      <c r="J47" s="188"/>
      <c r="K47" s="188"/>
      <c r="L47" s="188"/>
      <c r="M47" s="188"/>
      <c r="N47" s="96">
        <v>0.23</v>
      </c>
    </row>
    <row r="48" spans="1:14" s="73" customFormat="1" ht="12.95" customHeight="1" x14ac:dyDescent="0.2">
      <c r="A48" s="100" t="s">
        <v>85</v>
      </c>
      <c r="B48" s="101"/>
      <c r="C48" s="101"/>
      <c r="D48" s="101"/>
      <c r="E48" s="105" t="s">
        <v>86</v>
      </c>
      <c r="F48" s="88"/>
      <c r="G48" s="187" t="s">
        <v>100</v>
      </c>
      <c r="H48" s="188"/>
      <c r="I48" s="188"/>
      <c r="J48" s="188"/>
      <c r="K48" s="188"/>
      <c r="L48" s="188"/>
      <c r="M48" s="188"/>
      <c r="N48" s="96">
        <v>118.96</v>
      </c>
    </row>
    <row r="49" spans="1:14" s="73" customFormat="1" ht="12.95" customHeight="1" x14ac:dyDescent="0.2">
      <c r="A49" s="102" t="s">
        <v>104</v>
      </c>
      <c r="B49" s="103"/>
      <c r="C49" s="103"/>
      <c r="D49" s="103"/>
      <c r="E49" s="106" t="s">
        <v>87</v>
      </c>
      <c r="F49" s="88"/>
      <c r="G49" s="187" t="s">
        <v>105</v>
      </c>
      <c r="H49" s="188"/>
      <c r="I49" s="188"/>
      <c r="J49" s="188"/>
      <c r="K49" s="188"/>
      <c r="L49" s="188"/>
      <c r="M49" s="188"/>
      <c r="N49" s="96">
        <v>116.39</v>
      </c>
    </row>
    <row r="50" spans="1:14" s="73" customFormat="1" ht="12.95" customHeight="1" x14ac:dyDescent="0.2">
      <c r="A50" s="91"/>
      <c r="B50" s="91"/>
      <c r="C50" s="91"/>
      <c r="D50" s="90"/>
      <c r="E50" s="90"/>
      <c r="F50" s="88"/>
      <c r="G50" s="187" t="s">
        <v>101</v>
      </c>
      <c r="H50" s="188"/>
      <c r="I50" s="188"/>
      <c r="J50" s="188"/>
      <c r="K50" s="188"/>
      <c r="L50" s="188"/>
      <c r="M50" s="188"/>
      <c r="N50" s="96">
        <v>102.21</v>
      </c>
    </row>
    <row r="51" spans="1:14" ht="12.95" customHeight="1" x14ac:dyDescent="0.2">
      <c r="A51" s="92"/>
      <c r="B51" s="92"/>
      <c r="C51" s="93"/>
      <c r="D51" s="94"/>
      <c r="E51" s="94"/>
      <c r="G51" s="187" t="s">
        <v>102</v>
      </c>
      <c r="H51" s="188"/>
      <c r="I51" s="188"/>
      <c r="J51" s="188"/>
      <c r="K51" s="188"/>
      <c r="L51" s="188"/>
      <c r="M51" s="188"/>
      <c r="N51" s="96">
        <v>47.9</v>
      </c>
    </row>
    <row r="52" spans="1:14" ht="15" customHeight="1" x14ac:dyDescent="0.2">
      <c r="A52" s="84"/>
      <c r="B52" s="84"/>
    </row>
    <row r="53" spans="1:14" ht="15" customHeight="1" x14ac:dyDescent="0.2"/>
    <row r="54" spans="1:14" ht="15" customHeight="1" x14ac:dyDescent="0.2">
      <c r="N54" s="86"/>
    </row>
    <row r="55" spans="1:14" x14ac:dyDescent="0.2">
      <c r="N55" s="86"/>
    </row>
    <row r="56" spans="1:14" x14ac:dyDescent="0.2">
      <c r="N56" s="86"/>
    </row>
    <row r="57" spans="1:14" x14ac:dyDescent="0.2">
      <c r="N57" s="86"/>
    </row>
  </sheetData>
  <sheetProtection algorithmName="SHA-512" hashValue="nbYHZ2XHraS4cfncDHlBdeQb6gWBAy1lvs0hwctWfV8DFFbfMbh4oVBnikHe7Svu8G9mAwrVJX5iAqWc+jDlLg==" saltValue="QZxWxsVp9aIV0QtJklbS8g==" spinCount="100000" sheet="1" objects="1" scenarios="1" selectLockedCells="1" selectUnlockedCells="1"/>
  <autoFilter ref="A1:N52" xr:uid="{00000000-0009-0000-0000-000008000000}"/>
  <sortState xmlns:xlrd2="http://schemas.microsoft.com/office/spreadsheetml/2017/richdata2" ref="A26:V44">
    <sortCondition ref="D26:D44"/>
  </sortState>
  <mergeCells count="8">
    <mergeCell ref="G44:M44"/>
    <mergeCell ref="G51:M51"/>
    <mergeCell ref="G45:M45"/>
    <mergeCell ref="G46:M46"/>
    <mergeCell ref="G47:M47"/>
    <mergeCell ref="G48:M48"/>
    <mergeCell ref="G50:M50"/>
    <mergeCell ref="G49:M49"/>
  </mergeCells>
  <printOptions horizontalCentered="1"/>
  <pageMargins left="0.17" right="0.17" top="0.52" bottom="0.15748031496062992" header="0.15748031496062992" footer="0.15748031496062992"/>
  <pageSetup paperSize="9" scale="92" orientation="portrait" r:id="rId1"/>
  <headerFooter alignWithMargins="0">
    <oddHeader xml:space="preserve">&amp;C&amp;"Calibri,Negrita"&amp;12&amp;ETABLA SALARIAL CONVENIO SERVICIOS SECURITAS, S.A. 2017 (A PARTIR 01/04)
</oddHeader>
  </headerFooter>
  <rowBreaks count="1" manualBreakCount="1">
    <brk id="4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SERVISECURITAS 2007</vt:lpstr>
      <vt:lpstr>SERVISECURITAS 2008</vt:lpstr>
      <vt:lpstr>SERVISECURITAS 2009</vt:lpstr>
      <vt:lpstr>SERVISECURITAS 2010</vt:lpstr>
      <vt:lpstr>SERVISECURITAS 2011</vt:lpstr>
      <vt:lpstr>SERVISECURITAS 2013</vt:lpstr>
      <vt:lpstr>SERVISECURITAS 2015</vt:lpstr>
      <vt:lpstr>SERVISECURITAS 2016-1ER TRIM 17</vt:lpstr>
      <vt:lpstr>SERVISEC 2017 A PARTIR 01-04</vt:lpstr>
      <vt:lpstr>SERVISECURITAS 2018</vt:lpstr>
      <vt:lpstr>SERVISECURITAS 2019 PREVIO</vt:lpstr>
      <vt:lpstr>SERVISECURITAS 2019</vt:lpstr>
      <vt:lpstr>SERVISECURITAS 2019 (2)</vt:lpstr>
      <vt:lpstr>Hoja1</vt:lpstr>
      <vt:lpstr>SERVISECURITAS 2020</vt:lpstr>
      <vt:lpstr>SERVI 2019 CALCULOS VJP</vt:lpstr>
    </vt:vector>
  </TitlesOfParts>
  <Company>Securitas Seguridad España,S.A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Enrique Martínez Díaz</cp:lastModifiedBy>
  <cp:lastPrinted>2020-01-23T11:28:09Z</cp:lastPrinted>
  <dcterms:created xsi:type="dcterms:W3CDTF">2007-01-10T17:38:55Z</dcterms:created>
  <dcterms:modified xsi:type="dcterms:W3CDTF">2020-06-11T10:35:23Z</dcterms:modified>
</cp:coreProperties>
</file>